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552" tabRatio="810"/>
  </bookViews>
  <sheets>
    <sheet name="30日上午" sheetId="1" r:id="rId1"/>
  </sheets>
  <definedNames>
    <definedName name="_xlnm._FilterDatabase" localSheetId="0" hidden="1">'30日上午'!$A$3:$J$223</definedName>
    <definedName name="_xlnm.Print_Titles" localSheetId="0">'30日上午'!$1:$3</definedName>
  </definedNames>
  <calcPr calcId="144525" iterate="1" iterateCount="100" iterateDelta="0.001" concurrentCalc="0"/>
</workbook>
</file>

<file path=xl/sharedStrings.xml><?xml version="1.0" encoding="utf-8"?>
<sst xmlns="http://schemas.openxmlformats.org/spreadsheetml/2006/main" count="71">
  <si>
    <t>琼中黎族苗族自治县教育局招聘中小学临时教师面试成绩表</t>
  </si>
  <si>
    <t>考场</t>
  </si>
  <si>
    <t>考试时间</t>
  </si>
  <si>
    <t>序号</t>
  </si>
  <si>
    <t>姓名</t>
  </si>
  <si>
    <t>准考证号</t>
  </si>
  <si>
    <t>报考学校</t>
  </si>
  <si>
    <t>报考岗位</t>
  </si>
  <si>
    <t>面试
序号</t>
  </si>
  <si>
    <t>面试
成绩</t>
  </si>
  <si>
    <t>备注</t>
  </si>
  <si>
    <t>01考场</t>
  </si>
  <si>
    <t>2021年8月30日上午8：30-12：00</t>
  </si>
  <si>
    <t>和平中心小学本部</t>
  </si>
  <si>
    <t>1001_小学语文</t>
  </si>
  <si>
    <t>缺考</t>
  </si>
  <si>
    <t>02</t>
  </si>
  <si>
    <t>01</t>
  </si>
  <si>
    <t>02考场</t>
  </si>
  <si>
    <t>2021年8月30日上午8：30-13：40</t>
  </si>
  <si>
    <t>湾岭学校本部</t>
  </si>
  <si>
    <t>1102_小学语文</t>
  </si>
  <si>
    <t>04</t>
  </si>
  <si>
    <t>05</t>
  </si>
  <si>
    <t>07</t>
  </si>
  <si>
    <t>03</t>
  </si>
  <si>
    <t>06</t>
  </si>
  <si>
    <t>03考场</t>
  </si>
  <si>
    <t>2021年8月30日上午8：30-13：20</t>
  </si>
  <si>
    <t>湾岭新仔小学本部</t>
  </si>
  <si>
    <t>1103_小学语文</t>
  </si>
  <si>
    <t>太平学校本部</t>
  </si>
  <si>
    <t>0801_小学语文</t>
  </si>
  <si>
    <t>04考场</t>
  </si>
  <si>
    <t>新进中心小学本部</t>
  </si>
  <si>
    <t>0501_小学数学</t>
  </si>
  <si>
    <t>09</t>
  </si>
  <si>
    <t>新伟学校本部</t>
  </si>
  <si>
    <t>0701_小学数学</t>
  </si>
  <si>
    <t>08</t>
  </si>
  <si>
    <t>05考场</t>
  </si>
  <si>
    <t>2021年8月30日上午8：30-12：10</t>
  </si>
  <si>
    <t>1101_小学数学</t>
  </si>
  <si>
    <t>06考场</t>
  </si>
  <si>
    <t>2021年8月30日上午8：30-12：30</t>
  </si>
  <si>
    <t>1002_小学数学</t>
  </si>
  <si>
    <t>07考场</t>
  </si>
  <si>
    <t>2021年8月30日上午8：30-11：20</t>
  </si>
  <si>
    <t>中平学校本部</t>
  </si>
  <si>
    <t>0101_中学英语</t>
  </si>
  <si>
    <t>0502_小学英语</t>
  </si>
  <si>
    <t>08考场</t>
  </si>
  <si>
    <t>2021年8月30日上午8：30-11：50</t>
  </si>
  <si>
    <t>大丰学校本部</t>
  </si>
  <si>
    <t>0401_小学英语</t>
  </si>
  <si>
    <t>20</t>
  </si>
  <si>
    <t>1003_小学英语</t>
  </si>
  <si>
    <t>12</t>
  </si>
  <si>
    <t>17</t>
  </si>
  <si>
    <t>14</t>
  </si>
  <si>
    <t>09考场</t>
  </si>
  <si>
    <t>2021年8月30日上午8：30-10:30</t>
  </si>
  <si>
    <t>滨海九小琼中县实验小学本部</t>
  </si>
  <si>
    <t>0201_小学音乐</t>
  </si>
  <si>
    <t>上安中心小学本部</t>
  </si>
  <si>
    <t>0601_小学音乐</t>
  </si>
  <si>
    <t>10考场</t>
  </si>
  <si>
    <t>2021年8月30日上午8：30-10:40</t>
  </si>
  <si>
    <t>0202_小学体育</t>
  </si>
  <si>
    <t>红毛希望小学本部</t>
  </si>
  <si>
    <t>0301_小学体育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</si>
</sst>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5">
    <font>
      <sz val="11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indexed="8"/>
      <name val="宋体"/>
      <charset val="0"/>
    </font>
    <font>
      <b/>
      <sz val="11"/>
      <color indexed="9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i/>
      <sz val="11"/>
      <color indexed="23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b/>
      <sz val="11"/>
      <color indexed="63"/>
      <name val="宋体"/>
      <charset val="0"/>
    </font>
    <font>
      <b/>
      <sz val="15"/>
      <color indexed="62"/>
      <name val="宋体"/>
      <charset val="134"/>
    </font>
    <font>
      <b/>
      <sz val="11"/>
      <color indexed="8"/>
      <name val="宋体"/>
      <charset val="0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b/>
      <sz val="11"/>
      <color indexed="52"/>
      <name val="宋体"/>
      <charset val="0"/>
    </font>
    <font>
      <sz val="11"/>
      <color indexed="52"/>
      <name val="宋体"/>
      <charset val="0"/>
    </font>
    <font>
      <sz val="11"/>
      <color indexed="17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12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8" borderId="8" applyNumberFormat="0" applyAlignment="0" applyProtection="0">
      <alignment vertical="center"/>
    </xf>
    <xf numFmtId="0" fontId="22" fillId="8" borderId="12" applyNumberFormat="0" applyAlignment="0" applyProtection="0">
      <alignment vertical="center"/>
    </xf>
    <xf numFmtId="0" fontId="8" fillId="3" borderId="6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left" vertical="center" shrinkToFit="1"/>
    </xf>
    <xf numFmtId="49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shrinkToFit="1"/>
    </xf>
    <xf numFmtId="49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shrinkToFit="1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49" fontId="2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223"/>
  <sheetViews>
    <sheetView tabSelected="1" zoomScale="91" zoomScaleNormal="91" workbookViewId="0">
      <pane xSplit="4" ySplit="3" topLeftCell="E207" activePane="bottomRight" state="frozen"/>
      <selection/>
      <selection pane="topRight"/>
      <selection pane="bottomLeft"/>
      <selection pane="bottomRight" activeCell="F208" sqref="F208"/>
    </sheetView>
  </sheetViews>
  <sheetFormatPr defaultColWidth="9" defaultRowHeight="22" customHeight="1"/>
  <cols>
    <col min="1" max="1" width="9.76851851851852" style="1" customWidth="1"/>
    <col min="2" max="2" width="11.3703703703704" style="1" customWidth="1"/>
    <col min="3" max="3" width="5.86111111111111" style="2" customWidth="1"/>
    <col min="4" max="4" width="8.17592592592593" style="3" customWidth="1"/>
    <col min="5" max="5" width="16.0925925925926" style="2" customWidth="1"/>
    <col min="6" max="6" width="16.0925925925926" style="3" customWidth="1"/>
    <col min="7" max="7" width="14.8888888888889" style="4" customWidth="1"/>
    <col min="8" max="8" width="10.7222222222222" style="5" customWidth="1"/>
    <col min="9" max="9" width="9.27777777777778" style="6" customWidth="1"/>
    <col min="10" max="10" width="9.14814814814815" style="2" customWidth="1"/>
    <col min="11" max="11" width="8.72222222222222" style="2"/>
    <col min="12" max="16384" width="9" style="2"/>
  </cols>
  <sheetData>
    <row r="1" ht="24" customHeight="1" spans="1:10">
      <c r="A1" s="7" t="s">
        <v>0</v>
      </c>
      <c r="B1" s="7"/>
      <c r="C1" s="7"/>
      <c r="D1" s="8"/>
      <c r="E1" s="7"/>
      <c r="F1" s="8"/>
      <c r="G1" s="8"/>
      <c r="H1" s="9"/>
      <c r="I1" s="28"/>
      <c r="J1" s="7"/>
    </row>
    <row r="2" customFormat="1" ht="9" customHeight="1" spans="1:10">
      <c r="A2" s="10"/>
      <c r="B2" s="10"/>
      <c r="C2" s="10"/>
      <c r="D2" s="11"/>
      <c r="E2" s="10"/>
      <c r="F2" s="11"/>
      <c r="G2" s="11"/>
      <c r="H2" s="12"/>
      <c r="I2" s="29"/>
      <c r="J2" s="10"/>
    </row>
    <row r="3" s="1" customFormat="1" ht="37" customHeight="1" spans="1:10">
      <c r="A3" s="13" t="s">
        <v>1</v>
      </c>
      <c r="B3" s="13" t="s">
        <v>2</v>
      </c>
      <c r="C3" s="13" t="s">
        <v>3</v>
      </c>
      <c r="D3" s="14" t="s">
        <v>4</v>
      </c>
      <c r="E3" s="15" t="s">
        <v>5</v>
      </c>
      <c r="F3" s="14" t="s">
        <v>6</v>
      </c>
      <c r="G3" s="14" t="s">
        <v>7</v>
      </c>
      <c r="H3" s="16" t="s">
        <v>8</v>
      </c>
      <c r="I3" s="30" t="s">
        <v>9</v>
      </c>
      <c r="J3" s="15" t="s">
        <v>10</v>
      </c>
    </row>
    <row r="4" ht="40" customHeight="1" spans="1:10">
      <c r="A4" s="17" t="s">
        <v>11</v>
      </c>
      <c r="B4" s="18" t="s">
        <v>12</v>
      </c>
      <c r="C4" s="19">
        <v>1</v>
      </c>
      <c r="D4" s="20" t="str">
        <f>"蔡剑平"</f>
        <v>蔡剑平</v>
      </c>
      <c r="E4" s="21" t="str">
        <f>"322420210817185343101428"</f>
        <v>322420210817185343101428</v>
      </c>
      <c r="F4" s="20" t="s">
        <v>13</v>
      </c>
      <c r="G4" s="20" t="s">
        <v>14</v>
      </c>
      <c r="H4" s="22"/>
      <c r="I4" s="31" t="s">
        <v>15</v>
      </c>
      <c r="J4" s="19"/>
    </row>
    <row r="5" ht="40" customHeight="1" spans="1:10">
      <c r="A5" s="17"/>
      <c r="B5" s="23"/>
      <c r="C5" s="19">
        <v>2</v>
      </c>
      <c r="D5" s="20" t="str">
        <f>"陈利琳"</f>
        <v>陈利琳</v>
      </c>
      <c r="E5" s="21" t="str">
        <f>"322420210817203958101482"</f>
        <v>322420210817203958101482</v>
      </c>
      <c r="F5" s="20" t="s">
        <v>13</v>
      </c>
      <c r="G5" s="20" t="s">
        <v>14</v>
      </c>
      <c r="H5" s="22"/>
      <c r="I5" s="31" t="s">
        <v>15</v>
      </c>
      <c r="J5" s="19"/>
    </row>
    <row r="6" ht="40" customHeight="1" spans="1:10">
      <c r="A6" s="17"/>
      <c r="B6" s="23"/>
      <c r="C6" s="19">
        <v>3</v>
      </c>
      <c r="D6" s="20" t="str">
        <f>"王彩虹"</f>
        <v>王彩虹</v>
      </c>
      <c r="E6" s="21" t="str">
        <f>"322420210817205821101493"</f>
        <v>322420210817205821101493</v>
      </c>
      <c r="F6" s="20" t="s">
        <v>13</v>
      </c>
      <c r="G6" s="20" t="s">
        <v>14</v>
      </c>
      <c r="H6" s="22"/>
      <c r="I6" s="31" t="s">
        <v>15</v>
      </c>
      <c r="J6" s="19"/>
    </row>
    <row r="7" ht="40" customHeight="1" spans="1:10">
      <c r="A7" s="17"/>
      <c r="B7" s="23"/>
      <c r="C7" s="19">
        <v>4</v>
      </c>
      <c r="D7" s="20" t="str">
        <f>"符雪露"</f>
        <v>符雪露</v>
      </c>
      <c r="E7" s="21" t="str">
        <f>"322420210818090929101656"</f>
        <v>322420210818090929101656</v>
      </c>
      <c r="F7" s="20" t="s">
        <v>13</v>
      </c>
      <c r="G7" s="20" t="s">
        <v>14</v>
      </c>
      <c r="H7" s="22"/>
      <c r="I7" s="31" t="s">
        <v>15</v>
      </c>
      <c r="J7" s="19"/>
    </row>
    <row r="8" ht="40" customHeight="1" spans="1:10">
      <c r="A8" s="17"/>
      <c r="B8" s="23"/>
      <c r="C8" s="19">
        <v>5</v>
      </c>
      <c r="D8" s="20" t="str">
        <f>"魏焕馨"</f>
        <v>魏焕馨</v>
      </c>
      <c r="E8" s="21" t="str">
        <f>"322420210818093002101673"</f>
        <v>322420210818093002101673</v>
      </c>
      <c r="F8" s="20" t="s">
        <v>13</v>
      </c>
      <c r="G8" s="20" t="s">
        <v>14</v>
      </c>
      <c r="H8" s="22"/>
      <c r="I8" s="31" t="s">
        <v>15</v>
      </c>
      <c r="J8" s="19"/>
    </row>
    <row r="9" ht="40" customHeight="1" spans="1:10">
      <c r="A9" s="17"/>
      <c r="B9" s="23"/>
      <c r="C9" s="19">
        <v>6</v>
      </c>
      <c r="D9" s="20" t="str">
        <f>"张鑫"</f>
        <v>张鑫</v>
      </c>
      <c r="E9" s="21" t="str">
        <f>"322420210818121238101832"</f>
        <v>322420210818121238101832</v>
      </c>
      <c r="F9" s="20" t="s">
        <v>13</v>
      </c>
      <c r="G9" s="20" t="s">
        <v>14</v>
      </c>
      <c r="H9" s="22"/>
      <c r="I9" s="31" t="s">
        <v>15</v>
      </c>
      <c r="J9" s="19"/>
    </row>
    <row r="10" ht="40" customHeight="1" spans="1:10">
      <c r="A10" s="17"/>
      <c r="B10" s="23"/>
      <c r="C10" s="19">
        <v>7</v>
      </c>
      <c r="D10" s="20" t="str">
        <f>"罗童心"</f>
        <v>罗童心</v>
      </c>
      <c r="E10" s="21" t="str">
        <f>"322420210818190313102107"</f>
        <v>322420210818190313102107</v>
      </c>
      <c r="F10" s="20" t="s">
        <v>13</v>
      </c>
      <c r="G10" s="20" t="s">
        <v>14</v>
      </c>
      <c r="H10" s="22" t="s">
        <v>16</v>
      </c>
      <c r="I10" s="31">
        <v>87.33</v>
      </c>
      <c r="J10" s="19"/>
    </row>
    <row r="11" ht="40" customHeight="1" spans="1:10">
      <c r="A11" s="17"/>
      <c r="B11" s="23"/>
      <c r="C11" s="19">
        <v>8</v>
      </c>
      <c r="D11" s="20" t="str">
        <f>"王秋南"</f>
        <v>王秋南</v>
      </c>
      <c r="E11" s="21" t="str">
        <f>"322420210818205546102155"</f>
        <v>322420210818205546102155</v>
      </c>
      <c r="F11" s="20" t="s">
        <v>13</v>
      </c>
      <c r="G11" s="20" t="s">
        <v>14</v>
      </c>
      <c r="H11" s="22"/>
      <c r="I11" s="31" t="s">
        <v>15</v>
      </c>
      <c r="J11" s="19"/>
    </row>
    <row r="12" ht="40" customHeight="1" spans="1:10">
      <c r="A12" s="17"/>
      <c r="B12" s="23"/>
      <c r="C12" s="19">
        <v>9</v>
      </c>
      <c r="D12" s="20" t="str">
        <f>"吉晶莹"</f>
        <v>吉晶莹</v>
      </c>
      <c r="E12" s="21" t="str">
        <f>"322420210818224558102218"</f>
        <v>322420210818224558102218</v>
      </c>
      <c r="F12" s="20" t="s">
        <v>13</v>
      </c>
      <c r="G12" s="20" t="s">
        <v>14</v>
      </c>
      <c r="H12" s="22" t="s">
        <v>17</v>
      </c>
      <c r="I12" s="31">
        <v>81.33</v>
      </c>
      <c r="J12" s="19"/>
    </row>
    <row r="13" ht="40" customHeight="1" spans="1:10">
      <c r="A13" s="17"/>
      <c r="B13" s="23"/>
      <c r="C13" s="19">
        <v>10</v>
      </c>
      <c r="D13" s="20" t="str">
        <f>"吴方花"</f>
        <v>吴方花</v>
      </c>
      <c r="E13" s="21" t="str">
        <f>"322420210819130706102435"</f>
        <v>322420210819130706102435</v>
      </c>
      <c r="F13" s="20" t="s">
        <v>13</v>
      </c>
      <c r="G13" s="20" t="s">
        <v>14</v>
      </c>
      <c r="H13" s="22"/>
      <c r="I13" s="31" t="s">
        <v>15</v>
      </c>
      <c r="J13" s="19"/>
    </row>
    <row r="14" ht="40" customHeight="1" spans="1:10">
      <c r="A14" s="17"/>
      <c r="B14" s="23"/>
      <c r="C14" s="19">
        <v>11</v>
      </c>
      <c r="D14" s="20" t="str">
        <f>"林丽霞"</f>
        <v>林丽霞</v>
      </c>
      <c r="E14" s="21" t="str">
        <f>"322420210819133747102449"</f>
        <v>322420210819133747102449</v>
      </c>
      <c r="F14" s="20" t="s">
        <v>13</v>
      </c>
      <c r="G14" s="20" t="s">
        <v>14</v>
      </c>
      <c r="H14" s="22"/>
      <c r="I14" s="31" t="s">
        <v>15</v>
      </c>
      <c r="J14" s="19"/>
    </row>
    <row r="15" ht="40" customHeight="1" spans="1:10">
      <c r="A15" s="17"/>
      <c r="B15" s="23"/>
      <c r="C15" s="19">
        <v>12</v>
      </c>
      <c r="D15" s="20" t="str">
        <f>"阮华彩"</f>
        <v>阮华彩</v>
      </c>
      <c r="E15" s="21" t="str">
        <f>"322420210821112215102971"</f>
        <v>322420210821112215102971</v>
      </c>
      <c r="F15" s="20" t="s">
        <v>13</v>
      </c>
      <c r="G15" s="20" t="s">
        <v>14</v>
      </c>
      <c r="H15" s="22"/>
      <c r="I15" s="31" t="s">
        <v>15</v>
      </c>
      <c r="J15" s="19"/>
    </row>
    <row r="16" ht="40" customHeight="1" spans="1:10">
      <c r="A16" s="17"/>
      <c r="B16" s="23"/>
      <c r="C16" s="19">
        <v>13</v>
      </c>
      <c r="D16" s="20" t="str">
        <f>"张霞"</f>
        <v>张霞</v>
      </c>
      <c r="E16" s="21" t="str">
        <f>"322420210821133256102997"</f>
        <v>322420210821133256102997</v>
      </c>
      <c r="F16" s="20" t="s">
        <v>13</v>
      </c>
      <c r="G16" s="20" t="s">
        <v>14</v>
      </c>
      <c r="H16" s="22"/>
      <c r="I16" s="31" t="s">
        <v>15</v>
      </c>
      <c r="J16" s="19"/>
    </row>
    <row r="17" ht="40" customHeight="1" spans="1:10">
      <c r="A17" s="17"/>
      <c r="B17" s="23"/>
      <c r="C17" s="19">
        <v>14</v>
      </c>
      <c r="D17" s="20" t="str">
        <f>"王茹"</f>
        <v>王茹</v>
      </c>
      <c r="E17" s="21" t="str">
        <f>"322420210821141237103007"</f>
        <v>322420210821141237103007</v>
      </c>
      <c r="F17" s="20" t="s">
        <v>13</v>
      </c>
      <c r="G17" s="20" t="s">
        <v>14</v>
      </c>
      <c r="H17" s="22"/>
      <c r="I17" s="31" t="s">
        <v>15</v>
      </c>
      <c r="J17" s="19"/>
    </row>
    <row r="18" ht="40" customHeight="1" spans="1:10">
      <c r="A18" s="17"/>
      <c r="B18" s="23"/>
      <c r="C18" s="19">
        <v>15</v>
      </c>
      <c r="D18" s="20" t="str">
        <f>"蔡兴婷"</f>
        <v>蔡兴婷</v>
      </c>
      <c r="E18" s="21" t="str">
        <f>"322420210821174939103060"</f>
        <v>322420210821174939103060</v>
      </c>
      <c r="F18" s="20" t="s">
        <v>13</v>
      </c>
      <c r="G18" s="20" t="s">
        <v>14</v>
      </c>
      <c r="H18" s="22"/>
      <c r="I18" s="31" t="s">
        <v>15</v>
      </c>
      <c r="J18" s="19"/>
    </row>
    <row r="19" ht="40" customHeight="1" spans="1:10">
      <c r="A19" s="17"/>
      <c r="B19" s="23"/>
      <c r="C19" s="19">
        <v>16</v>
      </c>
      <c r="D19" s="20" t="str">
        <f>"张慧冲"</f>
        <v>张慧冲</v>
      </c>
      <c r="E19" s="21" t="str">
        <f>"322420210821224817103111"</f>
        <v>322420210821224817103111</v>
      </c>
      <c r="F19" s="20" t="s">
        <v>13</v>
      </c>
      <c r="G19" s="20" t="s">
        <v>14</v>
      </c>
      <c r="H19" s="22"/>
      <c r="I19" s="31" t="s">
        <v>15</v>
      </c>
      <c r="J19" s="19"/>
    </row>
    <row r="20" ht="40" customHeight="1" spans="1:10">
      <c r="A20" s="17"/>
      <c r="B20" s="23"/>
      <c r="C20" s="19">
        <v>17</v>
      </c>
      <c r="D20" s="20" t="str">
        <f>"李海琼"</f>
        <v>李海琼</v>
      </c>
      <c r="E20" s="21" t="str">
        <f>"322420210817090107100898"</f>
        <v>322420210817090107100898</v>
      </c>
      <c r="F20" s="20" t="s">
        <v>13</v>
      </c>
      <c r="G20" s="20" t="s">
        <v>14</v>
      </c>
      <c r="H20" s="22"/>
      <c r="I20" s="31" t="s">
        <v>15</v>
      </c>
      <c r="J20" s="19"/>
    </row>
    <row r="21" ht="40" customHeight="1" spans="1:10">
      <c r="A21" s="17"/>
      <c r="B21" s="23"/>
      <c r="C21" s="19">
        <v>18</v>
      </c>
      <c r="D21" s="20" t="str">
        <f>"符锡垦"</f>
        <v>符锡垦</v>
      </c>
      <c r="E21" s="21" t="str">
        <f>"322420210817114231101111"</f>
        <v>322420210817114231101111</v>
      </c>
      <c r="F21" s="20" t="s">
        <v>13</v>
      </c>
      <c r="G21" s="20" t="s">
        <v>14</v>
      </c>
      <c r="H21" s="22"/>
      <c r="I21" s="31" t="s">
        <v>15</v>
      </c>
      <c r="J21" s="19"/>
    </row>
    <row r="22" ht="40" customHeight="1" spans="1:10">
      <c r="A22" s="17"/>
      <c r="B22" s="23"/>
      <c r="C22" s="19">
        <v>19</v>
      </c>
      <c r="D22" s="20" t="str">
        <f>"李裕师"</f>
        <v>李裕师</v>
      </c>
      <c r="E22" s="21" t="str">
        <f>"322420210817120712101129"</f>
        <v>322420210817120712101129</v>
      </c>
      <c r="F22" s="20" t="s">
        <v>13</v>
      </c>
      <c r="G22" s="20" t="s">
        <v>14</v>
      </c>
      <c r="H22" s="22"/>
      <c r="I22" s="31" t="s">
        <v>15</v>
      </c>
      <c r="J22" s="19"/>
    </row>
    <row r="23" ht="40" customHeight="1" spans="1:10">
      <c r="A23" s="17"/>
      <c r="B23" s="23"/>
      <c r="C23" s="19">
        <v>20</v>
      </c>
      <c r="D23" s="20" t="str">
        <f>"符丹蕊"</f>
        <v>符丹蕊</v>
      </c>
      <c r="E23" s="21" t="str">
        <f>"322420210817123350101148"</f>
        <v>322420210817123350101148</v>
      </c>
      <c r="F23" s="20" t="s">
        <v>13</v>
      </c>
      <c r="G23" s="20" t="s">
        <v>14</v>
      </c>
      <c r="H23" s="22"/>
      <c r="I23" s="31" t="s">
        <v>15</v>
      </c>
      <c r="J23" s="19"/>
    </row>
    <row r="24" ht="40" customHeight="1" spans="1:10">
      <c r="A24" s="17"/>
      <c r="B24" s="24"/>
      <c r="C24" s="19">
        <v>21</v>
      </c>
      <c r="D24" s="20" t="str">
        <f>"黄小妹"</f>
        <v>黄小妹</v>
      </c>
      <c r="E24" s="21" t="str">
        <f>"322420210817153905101264"</f>
        <v>322420210817153905101264</v>
      </c>
      <c r="F24" s="20" t="s">
        <v>13</v>
      </c>
      <c r="G24" s="20" t="s">
        <v>14</v>
      </c>
      <c r="H24" s="22"/>
      <c r="I24" s="31" t="s">
        <v>15</v>
      </c>
      <c r="J24" s="19"/>
    </row>
    <row r="25" ht="27" customHeight="1" spans="1:10">
      <c r="A25" s="17" t="s">
        <v>18</v>
      </c>
      <c r="B25" s="18" t="s">
        <v>19</v>
      </c>
      <c r="C25" s="19">
        <v>1</v>
      </c>
      <c r="D25" s="20" t="str">
        <f>"张夏鹏"</f>
        <v>张夏鹏</v>
      </c>
      <c r="E25" s="25" t="str">
        <f>"322420210822002934103128"</f>
        <v>322420210822002934103128</v>
      </c>
      <c r="F25" s="20" t="s">
        <v>20</v>
      </c>
      <c r="G25" s="20" t="s">
        <v>21</v>
      </c>
      <c r="H25" s="22"/>
      <c r="I25" s="31" t="s">
        <v>15</v>
      </c>
      <c r="J25" s="19"/>
    </row>
    <row r="26" ht="27" customHeight="1" spans="1:10">
      <c r="A26" s="17"/>
      <c r="B26" s="23"/>
      <c r="C26" s="19">
        <v>2</v>
      </c>
      <c r="D26" s="20" t="str">
        <f>"倪成凤"</f>
        <v>倪成凤</v>
      </c>
      <c r="E26" s="25" t="str">
        <f>"322420210822110432103173"</f>
        <v>322420210822110432103173</v>
      </c>
      <c r="F26" s="20" t="s">
        <v>20</v>
      </c>
      <c r="G26" s="20" t="s">
        <v>21</v>
      </c>
      <c r="H26" s="22"/>
      <c r="I26" s="31" t="s">
        <v>15</v>
      </c>
      <c r="J26" s="19"/>
    </row>
    <row r="27" ht="27" customHeight="1" spans="1:10">
      <c r="A27" s="17"/>
      <c r="B27" s="23"/>
      <c r="C27" s="19">
        <v>3</v>
      </c>
      <c r="D27" s="20" t="str">
        <f>"黄梦妮"</f>
        <v>黄梦妮</v>
      </c>
      <c r="E27" s="25" t="str">
        <f>"322420210817093433100940"</f>
        <v>322420210817093433100940</v>
      </c>
      <c r="F27" s="20" t="s">
        <v>20</v>
      </c>
      <c r="G27" s="20" t="s">
        <v>21</v>
      </c>
      <c r="H27" s="22"/>
      <c r="I27" s="31" t="s">
        <v>15</v>
      </c>
      <c r="J27" s="19"/>
    </row>
    <row r="28" ht="27" customHeight="1" spans="1:10">
      <c r="A28" s="17"/>
      <c r="B28" s="23"/>
      <c r="C28" s="19">
        <v>4</v>
      </c>
      <c r="D28" s="20" t="str">
        <f>"许茹妹"</f>
        <v>许茹妹</v>
      </c>
      <c r="E28" s="25" t="str">
        <f>"322420210817095614100969"</f>
        <v>322420210817095614100969</v>
      </c>
      <c r="F28" s="20" t="s">
        <v>20</v>
      </c>
      <c r="G28" s="20" t="s">
        <v>21</v>
      </c>
      <c r="H28" s="22"/>
      <c r="I28" s="31" t="s">
        <v>15</v>
      </c>
      <c r="J28" s="19"/>
    </row>
    <row r="29" ht="27" customHeight="1" spans="1:10">
      <c r="A29" s="17"/>
      <c r="B29" s="23"/>
      <c r="C29" s="19">
        <v>5</v>
      </c>
      <c r="D29" s="20" t="str">
        <f>"秦澜"</f>
        <v>秦澜</v>
      </c>
      <c r="E29" s="25" t="str">
        <f>"322420210817102038101003"</f>
        <v>322420210817102038101003</v>
      </c>
      <c r="F29" s="20" t="s">
        <v>20</v>
      </c>
      <c r="G29" s="20" t="s">
        <v>21</v>
      </c>
      <c r="H29" s="22"/>
      <c r="I29" s="31" t="s">
        <v>15</v>
      </c>
      <c r="J29" s="19"/>
    </row>
    <row r="30" ht="27" customHeight="1" spans="1:10">
      <c r="A30" s="17"/>
      <c r="B30" s="23"/>
      <c r="C30" s="19">
        <v>6</v>
      </c>
      <c r="D30" s="20" t="str">
        <f>"陈熙文"</f>
        <v>陈熙文</v>
      </c>
      <c r="E30" s="25" t="str">
        <f>"322420210822001512103127"</f>
        <v>322420210822001512103127</v>
      </c>
      <c r="F30" s="20" t="s">
        <v>20</v>
      </c>
      <c r="G30" s="20" t="s">
        <v>21</v>
      </c>
      <c r="H30" s="22"/>
      <c r="I30" s="31" t="s">
        <v>15</v>
      </c>
      <c r="J30" s="19"/>
    </row>
    <row r="31" ht="27" customHeight="1" spans="1:10">
      <c r="A31" s="17"/>
      <c r="B31" s="23"/>
      <c r="C31" s="19">
        <v>7</v>
      </c>
      <c r="D31" s="20" t="str">
        <f>"张莎"</f>
        <v>张莎</v>
      </c>
      <c r="E31" s="25" t="str">
        <f>"322420210817105941101045"</f>
        <v>322420210817105941101045</v>
      </c>
      <c r="F31" s="20" t="s">
        <v>20</v>
      </c>
      <c r="G31" s="20" t="s">
        <v>21</v>
      </c>
      <c r="H31" s="22" t="s">
        <v>22</v>
      </c>
      <c r="I31" s="31">
        <v>80.43</v>
      </c>
      <c r="J31" s="19"/>
    </row>
    <row r="32" ht="27" customHeight="1" spans="1:10">
      <c r="A32" s="17"/>
      <c r="B32" s="23"/>
      <c r="C32" s="19">
        <v>8</v>
      </c>
      <c r="D32" s="20" t="str">
        <f>"李明倩"</f>
        <v>李明倩</v>
      </c>
      <c r="E32" s="25" t="str">
        <f>"322420210817110825101057"</f>
        <v>322420210817110825101057</v>
      </c>
      <c r="F32" s="20" t="s">
        <v>20</v>
      </c>
      <c r="G32" s="20" t="s">
        <v>21</v>
      </c>
      <c r="H32" s="22" t="s">
        <v>23</v>
      </c>
      <c r="I32" s="31">
        <v>81.87</v>
      </c>
      <c r="J32" s="19"/>
    </row>
    <row r="33" ht="27" customHeight="1" spans="1:10">
      <c r="A33" s="17"/>
      <c r="B33" s="23"/>
      <c r="C33" s="19">
        <v>9</v>
      </c>
      <c r="D33" s="20" t="str">
        <f>"王雪花"</f>
        <v>王雪花</v>
      </c>
      <c r="E33" s="25" t="str">
        <f>"322420210817161119101302"</f>
        <v>322420210817161119101302</v>
      </c>
      <c r="F33" s="20" t="s">
        <v>20</v>
      </c>
      <c r="G33" s="20" t="s">
        <v>21</v>
      </c>
      <c r="H33" s="22"/>
      <c r="I33" s="31" t="s">
        <v>15</v>
      </c>
      <c r="J33" s="19"/>
    </row>
    <row r="34" ht="27" customHeight="1" spans="1:10">
      <c r="A34" s="17"/>
      <c r="B34" s="23"/>
      <c r="C34" s="19">
        <v>10</v>
      </c>
      <c r="D34" s="20" t="str">
        <f>"苏万姣"</f>
        <v>苏万姣</v>
      </c>
      <c r="E34" s="25" t="str">
        <f>"322420210821143527103010"</f>
        <v>322420210821143527103010</v>
      </c>
      <c r="F34" s="20" t="s">
        <v>20</v>
      </c>
      <c r="G34" s="20" t="s">
        <v>21</v>
      </c>
      <c r="H34" s="22"/>
      <c r="I34" s="31" t="s">
        <v>15</v>
      </c>
      <c r="J34" s="19"/>
    </row>
    <row r="35" ht="27" customHeight="1" spans="1:10">
      <c r="A35" s="17"/>
      <c r="B35" s="23"/>
      <c r="C35" s="19">
        <v>11</v>
      </c>
      <c r="D35" s="20" t="str">
        <f>"李爱菊"</f>
        <v>李爱菊</v>
      </c>
      <c r="E35" s="25" t="str">
        <f>"322420210821154016103024"</f>
        <v>322420210821154016103024</v>
      </c>
      <c r="F35" s="20" t="s">
        <v>20</v>
      </c>
      <c r="G35" s="20" t="s">
        <v>21</v>
      </c>
      <c r="H35" s="22"/>
      <c r="I35" s="31" t="s">
        <v>15</v>
      </c>
      <c r="J35" s="19"/>
    </row>
    <row r="36" ht="27" customHeight="1" spans="1:10">
      <c r="A36" s="17"/>
      <c r="B36" s="23"/>
      <c r="C36" s="19">
        <v>12</v>
      </c>
      <c r="D36" s="20" t="str">
        <f>"黄海燕"</f>
        <v>黄海燕</v>
      </c>
      <c r="E36" s="25" t="str">
        <f>"322420210821230510103114"</f>
        <v>322420210821230510103114</v>
      </c>
      <c r="F36" s="20" t="s">
        <v>20</v>
      </c>
      <c r="G36" s="20" t="s">
        <v>21</v>
      </c>
      <c r="H36" s="22"/>
      <c r="I36" s="31" t="s">
        <v>15</v>
      </c>
      <c r="J36" s="19"/>
    </row>
    <row r="37" ht="27" customHeight="1" spans="1:10">
      <c r="A37" s="17"/>
      <c r="B37" s="23"/>
      <c r="C37" s="19">
        <v>13</v>
      </c>
      <c r="D37" s="20" t="str">
        <f>"倪俊伦"</f>
        <v>倪俊伦</v>
      </c>
      <c r="E37" s="25" t="str">
        <f>"322420210817172956101367"</f>
        <v>322420210817172956101367</v>
      </c>
      <c r="F37" s="20" t="s">
        <v>20</v>
      </c>
      <c r="G37" s="20" t="s">
        <v>21</v>
      </c>
      <c r="H37" s="22"/>
      <c r="I37" s="31" t="s">
        <v>15</v>
      </c>
      <c r="J37" s="19"/>
    </row>
    <row r="38" ht="27" customHeight="1" spans="1:10">
      <c r="A38" s="17"/>
      <c r="B38" s="23"/>
      <c r="C38" s="19">
        <v>14</v>
      </c>
      <c r="D38" s="20" t="str">
        <f>"廖芳银"</f>
        <v>廖芳银</v>
      </c>
      <c r="E38" s="25" t="str">
        <f>"322420210817173201101368"</f>
        <v>322420210817173201101368</v>
      </c>
      <c r="F38" s="20" t="s">
        <v>20</v>
      </c>
      <c r="G38" s="20" t="s">
        <v>21</v>
      </c>
      <c r="H38" s="22"/>
      <c r="I38" s="31" t="s">
        <v>15</v>
      </c>
      <c r="J38" s="19"/>
    </row>
    <row r="39" ht="27" customHeight="1" spans="1:10">
      <c r="A39" s="17"/>
      <c r="B39" s="23"/>
      <c r="C39" s="19">
        <v>15</v>
      </c>
      <c r="D39" s="20" t="str">
        <f>"吴红琳"</f>
        <v>吴红琳</v>
      </c>
      <c r="E39" s="25" t="str">
        <f>"322420210817173928101376"</f>
        <v>322420210817173928101376</v>
      </c>
      <c r="F39" s="20" t="s">
        <v>20</v>
      </c>
      <c r="G39" s="20" t="s">
        <v>21</v>
      </c>
      <c r="H39" s="22"/>
      <c r="I39" s="31" t="s">
        <v>15</v>
      </c>
      <c r="J39" s="19"/>
    </row>
    <row r="40" ht="27" customHeight="1" spans="1:10">
      <c r="A40" s="17"/>
      <c r="B40" s="23"/>
      <c r="C40" s="19">
        <v>16</v>
      </c>
      <c r="D40" s="20" t="str">
        <f>"江秋岚"</f>
        <v>江秋岚</v>
      </c>
      <c r="E40" s="25" t="str">
        <f>"322420210817220649101540"</f>
        <v>322420210817220649101540</v>
      </c>
      <c r="F40" s="20" t="s">
        <v>20</v>
      </c>
      <c r="G40" s="20" t="s">
        <v>21</v>
      </c>
      <c r="H40" s="22"/>
      <c r="I40" s="31" t="s">
        <v>15</v>
      </c>
      <c r="J40" s="19"/>
    </row>
    <row r="41" ht="27" customHeight="1" spans="1:10">
      <c r="A41" s="17"/>
      <c r="B41" s="23"/>
      <c r="C41" s="19">
        <v>17</v>
      </c>
      <c r="D41" s="20" t="str">
        <f>"聂萍"</f>
        <v>聂萍</v>
      </c>
      <c r="E41" s="25" t="str">
        <f>"322420210818081712101632"</f>
        <v>322420210818081712101632</v>
      </c>
      <c r="F41" s="20" t="s">
        <v>20</v>
      </c>
      <c r="G41" s="20" t="s">
        <v>21</v>
      </c>
      <c r="H41" s="22" t="s">
        <v>17</v>
      </c>
      <c r="I41" s="31">
        <v>80.67</v>
      </c>
      <c r="J41" s="19"/>
    </row>
    <row r="42" ht="27" customHeight="1" spans="1:10">
      <c r="A42" s="17"/>
      <c r="B42" s="23"/>
      <c r="C42" s="19">
        <v>18</v>
      </c>
      <c r="D42" s="20" t="str">
        <f>"吴丽"</f>
        <v>吴丽</v>
      </c>
      <c r="E42" s="25" t="str">
        <f>"322420210818103619101743"</f>
        <v>322420210818103619101743</v>
      </c>
      <c r="F42" s="20" t="s">
        <v>20</v>
      </c>
      <c r="G42" s="20" t="s">
        <v>21</v>
      </c>
      <c r="H42" s="22"/>
      <c r="I42" s="31" t="s">
        <v>15</v>
      </c>
      <c r="J42" s="19"/>
    </row>
    <row r="43" ht="27" customHeight="1" spans="1:10">
      <c r="A43" s="17"/>
      <c r="B43" s="23"/>
      <c r="C43" s="19">
        <v>19</v>
      </c>
      <c r="D43" s="20" t="str">
        <f>"李秋丽"</f>
        <v>李秋丽</v>
      </c>
      <c r="E43" s="25" t="str">
        <f>"322420210818142925101908"</f>
        <v>322420210818142925101908</v>
      </c>
      <c r="F43" s="20" t="s">
        <v>20</v>
      </c>
      <c r="G43" s="20" t="s">
        <v>21</v>
      </c>
      <c r="H43" s="22"/>
      <c r="I43" s="31" t="s">
        <v>15</v>
      </c>
      <c r="J43" s="19"/>
    </row>
    <row r="44" ht="27" customHeight="1" spans="1:10">
      <c r="A44" s="17"/>
      <c r="B44" s="23"/>
      <c r="C44" s="19">
        <v>20</v>
      </c>
      <c r="D44" s="20" t="str">
        <f>"林春紫"</f>
        <v>林春紫</v>
      </c>
      <c r="E44" s="25" t="str">
        <f>"322420210818214345102181"</f>
        <v>322420210818214345102181</v>
      </c>
      <c r="F44" s="20" t="s">
        <v>20</v>
      </c>
      <c r="G44" s="20" t="s">
        <v>21</v>
      </c>
      <c r="H44" s="22"/>
      <c r="I44" s="31" t="s">
        <v>15</v>
      </c>
      <c r="J44" s="19"/>
    </row>
    <row r="45" ht="27" customHeight="1" spans="1:10">
      <c r="A45" s="17"/>
      <c r="B45" s="23"/>
      <c r="C45" s="19">
        <v>21</v>
      </c>
      <c r="D45" s="20" t="str">
        <f>"蒋金芳"</f>
        <v>蒋金芳</v>
      </c>
      <c r="E45" s="25" t="str">
        <f>"322420210819091613102291"</f>
        <v>322420210819091613102291</v>
      </c>
      <c r="F45" s="20" t="s">
        <v>20</v>
      </c>
      <c r="G45" s="20" t="s">
        <v>21</v>
      </c>
      <c r="H45" s="22"/>
      <c r="I45" s="31" t="s">
        <v>15</v>
      </c>
      <c r="J45" s="19"/>
    </row>
    <row r="46" ht="27" customHeight="1" spans="1:10">
      <c r="A46" s="17"/>
      <c r="B46" s="23"/>
      <c r="C46" s="19">
        <v>22</v>
      </c>
      <c r="D46" s="20" t="str">
        <f>"高雨萌"</f>
        <v>高雨萌</v>
      </c>
      <c r="E46" s="25" t="str">
        <f>"322420210819101247102336"</f>
        <v>322420210819101247102336</v>
      </c>
      <c r="F46" s="20" t="s">
        <v>20</v>
      </c>
      <c r="G46" s="20" t="s">
        <v>21</v>
      </c>
      <c r="H46" s="22" t="s">
        <v>24</v>
      </c>
      <c r="I46" s="31">
        <v>79.63</v>
      </c>
      <c r="J46" s="19"/>
    </row>
    <row r="47" ht="27" customHeight="1" spans="1:10">
      <c r="A47" s="17"/>
      <c r="B47" s="23"/>
      <c r="C47" s="19">
        <v>23</v>
      </c>
      <c r="D47" s="20" t="str">
        <f>"郑一梅"</f>
        <v>郑一梅</v>
      </c>
      <c r="E47" s="25" t="str">
        <f>"322420210819112448102392"</f>
        <v>322420210819112448102392</v>
      </c>
      <c r="F47" s="20" t="s">
        <v>20</v>
      </c>
      <c r="G47" s="20" t="s">
        <v>21</v>
      </c>
      <c r="H47" s="22"/>
      <c r="I47" s="31" t="s">
        <v>15</v>
      </c>
      <c r="J47" s="19"/>
    </row>
    <row r="48" ht="27" customHeight="1" spans="1:10">
      <c r="A48" s="17"/>
      <c r="B48" s="23"/>
      <c r="C48" s="19">
        <v>24</v>
      </c>
      <c r="D48" s="20" t="str">
        <f>"徐虹雨"</f>
        <v>徐虹雨</v>
      </c>
      <c r="E48" s="25" t="str">
        <f>"322420210819163643102566"</f>
        <v>322420210819163643102566</v>
      </c>
      <c r="F48" s="20" t="s">
        <v>20</v>
      </c>
      <c r="G48" s="20" t="s">
        <v>21</v>
      </c>
      <c r="H48" s="22"/>
      <c r="I48" s="31" t="s">
        <v>15</v>
      </c>
      <c r="J48" s="19"/>
    </row>
    <row r="49" ht="27" customHeight="1" spans="1:10">
      <c r="A49" s="17"/>
      <c r="B49" s="23"/>
      <c r="C49" s="19">
        <v>25</v>
      </c>
      <c r="D49" s="20" t="str">
        <f>"陈雅婷"</f>
        <v>陈雅婷</v>
      </c>
      <c r="E49" s="25" t="str">
        <f>"322420210819164115102571"</f>
        <v>322420210819164115102571</v>
      </c>
      <c r="F49" s="20" t="s">
        <v>20</v>
      </c>
      <c r="G49" s="20" t="s">
        <v>21</v>
      </c>
      <c r="H49" s="22"/>
      <c r="I49" s="31" t="s">
        <v>15</v>
      </c>
      <c r="J49" s="19"/>
    </row>
    <row r="50" ht="27" customHeight="1" spans="1:10">
      <c r="A50" s="17"/>
      <c r="B50" s="23"/>
      <c r="C50" s="19">
        <v>26</v>
      </c>
      <c r="D50" s="20" t="str">
        <f>"王静"</f>
        <v>王静</v>
      </c>
      <c r="E50" s="25" t="str">
        <f>"322420210819213934102635"</f>
        <v>322420210819213934102635</v>
      </c>
      <c r="F50" s="20" t="s">
        <v>20</v>
      </c>
      <c r="G50" s="20" t="s">
        <v>21</v>
      </c>
      <c r="H50" s="22"/>
      <c r="I50" s="31" t="s">
        <v>15</v>
      </c>
      <c r="J50" s="19"/>
    </row>
    <row r="51" ht="27" customHeight="1" spans="1:10">
      <c r="A51" s="17"/>
      <c r="B51" s="23"/>
      <c r="C51" s="19">
        <v>27</v>
      </c>
      <c r="D51" s="20" t="str">
        <f>"王道东"</f>
        <v>王道东</v>
      </c>
      <c r="E51" s="25" t="str">
        <f>"322420210820080502102687"</f>
        <v>322420210820080502102687</v>
      </c>
      <c r="F51" s="20" t="s">
        <v>20</v>
      </c>
      <c r="G51" s="20" t="s">
        <v>21</v>
      </c>
      <c r="H51" s="22"/>
      <c r="I51" s="31" t="s">
        <v>15</v>
      </c>
      <c r="J51" s="19"/>
    </row>
    <row r="52" ht="27" customHeight="1" spans="1:10">
      <c r="A52" s="17"/>
      <c r="B52" s="23"/>
      <c r="C52" s="19">
        <v>28</v>
      </c>
      <c r="D52" s="20" t="str">
        <f>"王晓佳"</f>
        <v>王晓佳</v>
      </c>
      <c r="E52" s="25" t="str">
        <f>"322420210820100259102723"</f>
        <v>322420210820100259102723</v>
      </c>
      <c r="F52" s="20" t="s">
        <v>20</v>
      </c>
      <c r="G52" s="20" t="s">
        <v>21</v>
      </c>
      <c r="H52" s="22" t="s">
        <v>16</v>
      </c>
      <c r="I52" s="31">
        <v>85.67</v>
      </c>
      <c r="J52" s="19"/>
    </row>
    <row r="53" ht="27" customHeight="1" spans="1:10">
      <c r="A53" s="17"/>
      <c r="B53" s="23"/>
      <c r="C53" s="19">
        <v>29</v>
      </c>
      <c r="D53" s="20" t="str">
        <f>"方莹"</f>
        <v>方莹</v>
      </c>
      <c r="E53" s="25" t="str">
        <f>"322420210820134325102797"</f>
        <v>322420210820134325102797</v>
      </c>
      <c r="F53" s="20" t="s">
        <v>20</v>
      </c>
      <c r="G53" s="20" t="s">
        <v>21</v>
      </c>
      <c r="H53" s="22"/>
      <c r="I53" s="31" t="s">
        <v>15</v>
      </c>
      <c r="J53" s="19"/>
    </row>
    <row r="54" ht="27" customHeight="1" spans="1:10">
      <c r="A54" s="17"/>
      <c r="B54" s="23"/>
      <c r="C54" s="19">
        <v>30</v>
      </c>
      <c r="D54" s="20" t="str">
        <f>"邢芯瑜"</f>
        <v>邢芯瑜</v>
      </c>
      <c r="E54" s="25" t="str">
        <f>"322420210820202808102889"</f>
        <v>322420210820202808102889</v>
      </c>
      <c r="F54" s="20" t="s">
        <v>20</v>
      </c>
      <c r="G54" s="20" t="s">
        <v>21</v>
      </c>
      <c r="H54" s="22" t="s">
        <v>25</v>
      </c>
      <c r="I54" s="31">
        <v>76.33</v>
      </c>
      <c r="J54" s="19"/>
    </row>
    <row r="55" ht="27" customHeight="1" spans="1:10">
      <c r="A55" s="17"/>
      <c r="B55" s="24"/>
      <c r="C55" s="19">
        <v>31</v>
      </c>
      <c r="D55" s="20" t="str">
        <f>"黄家俊"</f>
        <v>黄家俊</v>
      </c>
      <c r="E55" s="25" t="str">
        <f>"322420210821140650103005"</f>
        <v>322420210821140650103005</v>
      </c>
      <c r="F55" s="20" t="s">
        <v>20</v>
      </c>
      <c r="G55" s="20" t="s">
        <v>21</v>
      </c>
      <c r="H55" s="22" t="s">
        <v>26</v>
      </c>
      <c r="I55" s="31">
        <v>85.37</v>
      </c>
      <c r="J55" s="19"/>
    </row>
    <row r="56" ht="29" customHeight="1" spans="1:10">
      <c r="A56" s="17" t="s">
        <v>27</v>
      </c>
      <c r="B56" s="26" t="s">
        <v>28</v>
      </c>
      <c r="C56" s="19">
        <v>1</v>
      </c>
      <c r="D56" s="20" t="str">
        <f>"陈楚楚"</f>
        <v>陈楚楚</v>
      </c>
      <c r="E56" s="25" t="str">
        <f>"322420210817090032100896"</f>
        <v>322420210817090032100896</v>
      </c>
      <c r="F56" s="20" t="s">
        <v>29</v>
      </c>
      <c r="G56" s="20" t="s">
        <v>30</v>
      </c>
      <c r="H56" s="22"/>
      <c r="I56" s="31" t="s">
        <v>15</v>
      </c>
      <c r="J56" s="19"/>
    </row>
    <row r="57" ht="29" customHeight="1" spans="1:10">
      <c r="A57" s="17"/>
      <c r="B57" s="27"/>
      <c r="C57" s="19">
        <v>2</v>
      </c>
      <c r="D57" s="20" t="str">
        <f>"刘缯铭"</f>
        <v>刘缯铭</v>
      </c>
      <c r="E57" s="25" t="str">
        <f>"322420210817092758100931"</f>
        <v>322420210817092758100931</v>
      </c>
      <c r="F57" s="20" t="s">
        <v>29</v>
      </c>
      <c r="G57" s="20" t="s">
        <v>30</v>
      </c>
      <c r="H57" s="22"/>
      <c r="I57" s="31" t="s">
        <v>15</v>
      </c>
      <c r="J57" s="19"/>
    </row>
    <row r="58" ht="29" customHeight="1" spans="1:10">
      <c r="A58" s="17"/>
      <c r="B58" s="27"/>
      <c r="C58" s="19">
        <v>3</v>
      </c>
      <c r="D58" s="20" t="str">
        <f>"王伟杰"</f>
        <v>王伟杰</v>
      </c>
      <c r="E58" s="25" t="str">
        <f>"322420210817103216101015"</f>
        <v>322420210817103216101015</v>
      </c>
      <c r="F58" s="20" t="s">
        <v>29</v>
      </c>
      <c r="G58" s="20" t="s">
        <v>30</v>
      </c>
      <c r="H58" s="22"/>
      <c r="I58" s="31" t="s">
        <v>15</v>
      </c>
      <c r="J58" s="19"/>
    </row>
    <row r="59" ht="29" customHeight="1" spans="1:10">
      <c r="A59" s="17"/>
      <c r="B59" s="27"/>
      <c r="C59" s="19">
        <v>4</v>
      </c>
      <c r="D59" s="20" t="str">
        <f>"文小静"</f>
        <v>文小静</v>
      </c>
      <c r="E59" s="25" t="str">
        <f>"322420210817131401101173"</f>
        <v>322420210817131401101173</v>
      </c>
      <c r="F59" s="20" t="s">
        <v>29</v>
      </c>
      <c r="G59" s="20" t="s">
        <v>30</v>
      </c>
      <c r="H59" s="22"/>
      <c r="I59" s="31" t="s">
        <v>15</v>
      </c>
      <c r="J59" s="19"/>
    </row>
    <row r="60" ht="29" customHeight="1" spans="1:10">
      <c r="A60" s="17"/>
      <c r="B60" s="27"/>
      <c r="C60" s="19">
        <v>5</v>
      </c>
      <c r="D60" s="20" t="str">
        <f>"林明歌"</f>
        <v>林明歌</v>
      </c>
      <c r="E60" s="25" t="str">
        <f>"322420210817151623101246"</f>
        <v>322420210817151623101246</v>
      </c>
      <c r="F60" s="20" t="s">
        <v>29</v>
      </c>
      <c r="G60" s="20" t="s">
        <v>30</v>
      </c>
      <c r="H60" s="22"/>
      <c r="I60" s="31" t="s">
        <v>15</v>
      </c>
      <c r="J60" s="19"/>
    </row>
    <row r="61" ht="29" customHeight="1" spans="1:10">
      <c r="A61" s="17"/>
      <c r="B61" s="27"/>
      <c r="C61" s="19">
        <v>6</v>
      </c>
      <c r="D61" s="20" t="str">
        <f>"郑鸿磊"</f>
        <v>郑鸿磊</v>
      </c>
      <c r="E61" s="25" t="str">
        <f>"322420210817161047101301"</f>
        <v>322420210817161047101301</v>
      </c>
      <c r="F61" s="20" t="s">
        <v>29</v>
      </c>
      <c r="G61" s="20" t="s">
        <v>30</v>
      </c>
      <c r="H61" s="22" t="s">
        <v>23</v>
      </c>
      <c r="I61" s="31">
        <v>88.33</v>
      </c>
      <c r="J61" s="19"/>
    </row>
    <row r="62" ht="29" customHeight="1" spans="1:10">
      <c r="A62" s="17"/>
      <c r="B62" s="27"/>
      <c r="C62" s="19">
        <v>7</v>
      </c>
      <c r="D62" s="20" t="str">
        <f>"符士月"</f>
        <v>符士月</v>
      </c>
      <c r="E62" s="25" t="str">
        <f>"322420210817173951101377"</f>
        <v>322420210817173951101377</v>
      </c>
      <c r="F62" s="20" t="s">
        <v>29</v>
      </c>
      <c r="G62" s="20" t="s">
        <v>30</v>
      </c>
      <c r="H62" s="22"/>
      <c r="I62" s="31" t="s">
        <v>15</v>
      </c>
      <c r="J62" s="19"/>
    </row>
    <row r="63" ht="29" customHeight="1" spans="1:10">
      <c r="A63" s="17"/>
      <c r="B63" s="27"/>
      <c r="C63" s="19">
        <v>8</v>
      </c>
      <c r="D63" s="20" t="str">
        <f>"陶玲"</f>
        <v>陶玲</v>
      </c>
      <c r="E63" s="25" t="str">
        <f>"322420210817190846101440"</f>
        <v>322420210817190846101440</v>
      </c>
      <c r="F63" s="20" t="s">
        <v>29</v>
      </c>
      <c r="G63" s="20" t="s">
        <v>30</v>
      </c>
      <c r="H63" s="22"/>
      <c r="I63" s="31" t="s">
        <v>15</v>
      </c>
      <c r="J63" s="19"/>
    </row>
    <row r="64" ht="29" customHeight="1" spans="1:10">
      <c r="A64" s="17"/>
      <c r="B64" s="27"/>
      <c r="C64" s="19">
        <v>9</v>
      </c>
      <c r="D64" s="20" t="str">
        <f>"李慧芹"</f>
        <v>李慧芹</v>
      </c>
      <c r="E64" s="25" t="str">
        <f>"322420210818105137101756"</f>
        <v>322420210818105137101756</v>
      </c>
      <c r="F64" s="20" t="s">
        <v>29</v>
      </c>
      <c r="G64" s="20" t="s">
        <v>30</v>
      </c>
      <c r="H64" s="22"/>
      <c r="I64" s="31" t="s">
        <v>15</v>
      </c>
      <c r="J64" s="19"/>
    </row>
    <row r="65" ht="29" customHeight="1" spans="1:10">
      <c r="A65" s="17"/>
      <c r="B65" s="27"/>
      <c r="C65" s="19">
        <v>10</v>
      </c>
      <c r="D65" s="20" t="str">
        <f>"饶铸海"</f>
        <v>饶铸海</v>
      </c>
      <c r="E65" s="25" t="str">
        <f>"322420210819131427102441"</f>
        <v>322420210819131427102441</v>
      </c>
      <c r="F65" s="20" t="s">
        <v>29</v>
      </c>
      <c r="G65" s="20" t="s">
        <v>30</v>
      </c>
      <c r="H65" s="22"/>
      <c r="I65" s="31" t="s">
        <v>15</v>
      </c>
      <c r="J65" s="19"/>
    </row>
    <row r="66" ht="29" customHeight="1" spans="1:10">
      <c r="A66" s="17"/>
      <c r="B66" s="27"/>
      <c r="C66" s="19">
        <v>11</v>
      </c>
      <c r="D66" s="20" t="str">
        <f>"陈玲"</f>
        <v>陈玲</v>
      </c>
      <c r="E66" s="25" t="str">
        <f>"322420210819154018102511"</f>
        <v>322420210819154018102511</v>
      </c>
      <c r="F66" s="20" t="s">
        <v>29</v>
      </c>
      <c r="G66" s="20" t="s">
        <v>30</v>
      </c>
      <c r="H66" s="22"/>
      <c r="I66" s="31" t="s">
        <v>15</v>
      </c>
      <c r="J66" s="19"/>
    </row>
    <row r="67" ht="29" customHeight="1" spans="1:10">
      <c r="A67" s="17"/>
      <c r="B67" s="27"/>
      <c r="C67" s="19">
        <v>12</v>
      </c>
      <c r="D67" s="20" t="str">
        <f>"王爱霞"</f>
        <v>王爱霞</v>
      </c>
      <c r="E67" s="25" t="str">
        <f>"322420210819161305102543"</f>
        <v>322420210819161305102543</v>
      </c>
      <c r="F67" s="20" t="s">
        <v>29</v>
      </c>
      <c r="G67" s="20" t="s">
        <v>30</v>
      </c>
      <c r="H67" s="22"/>
      <c r="I67" s="31" t="s">
        <v>15</v>
      </c>
      <c r="J67" s="19"/>
    </row>
    <row r="68" ht="29" customHeight="1" spans="1:10">
      <c r="A68" s="17"/>
      <c r="B68" s="27"/>
      <c r="C68" s="19">
        <v>13</v>
      </c>
      <c r="D68" s="20" t="str">
        <f>"陈丹丹"</f>
        <v>陈丹丹</v>
      </c>
      <c r="E68" s="25" t="str">
        <f>"322420210819184133102602"</f>
        <v>322420210819184133102602</v>
      </c>
      <c r="F68" s="20" t="s">
        <v>29</v>
      </c>
      <c r="G68" s="20" t="s">
        <v>30</v>
      </c>
      <c r="H68" s="32"/>
      <c r="I68" s="31" t="s">
        <v>15</v>
      </c>
      <c r="J68" s="43"/>
    </row>
    <row r="69" ht="29" customHeight="1" spans="1:10">
      <c r="A69" s="17"/>
      <c r="B69" s="27"/>
      <c r="C69" s="19">
        <v>14</v>
      </c>
      <c r="D69" s="20" t="str">
        <f>"邹佳每"</f>
        <v>邹佳每</v>
      </c>
      <c r="E69" s="25" t="str">
        <f>"322420210820001051102673"</f>
        <v>322420210820001051102673</v>
      </c>
      <c r="F69" s="20" t="s">
        <v>29</v>
      </c>
      <c r="G69" s="33" t="s">
        <v>30</v>
      </c>
      <c r="H69" s="34" t="s">
        <v>25</v>
      </c>
      <c r="I69" s="31">
        <v>82</v>
      </c>
      <c r="J69" s="19"/>
    </row>
    <row r="70" ht="29" customHeight="1" spans="1:10">
      <c r="A70" s="17"/>
      <c r="B70" s="27"/>
      <c r="C70" s="19">
        <v>15</v>
      </c>
      <c r="D70" s="20" t="str">
        <f>"符武婷"</f>
        <v>符武婷</v>
      </c>
      <c r="E70" s="25" t="str">
        <f>"322420210820131637102794"</f>
        <v>322420210820131637102794</v>
      </c>
      <c r="F70" s="20" t="s">
        <v>29</v>
      </c>
      <c r="G70" s="33" t="s">
        <v>30</v>
      </c>
      <c r="H70" s="34" t="s">
        <v>16</v>
      </c>
      <c r="I70" s="31">
        <v>80.33</v>
      </c>
      <c r="J70" s="19"/>
    </row>
    <row r="71" ht="29" customHeight="1" spans="1:10">
      <c r="A71" s="17"/>
      <c r="B71" s="27"/>
      <c r="C71" s="19">
        <v>16</v>
      </c>
      <c r="D71" s="20" t="str">
        <f>"曹婷"</f>
        <v>曹婷</v>
      </c>
      <c r="E71" s="25" t="str">
        <f>"322420210820153505102821"</f>
        <v>322420210820153505102821</v>
      </c>
      <c r="F71" s="20" t="s">
        <v>29</v>
      </c>
      <c r="G71" s="33" t="s">
        <v>30</v>
      </c>
      <c r="H71" s="34"/>
      <c r="I71" s="31" t="s">
        <v>15</v>
      </c>
      <c r="J71" s="19"/>
    </row>
    <row r="72" ht="29" customHeight="1" spans="1:10">
      <c r="A72" s="17"/>
      <c r="B72" s="27"/>
      <c r="C72" s="19">
        <v>17</v>
      </c>
      <c r="D72" s="20" t="str">
        <f>"冯宣华"</f>
        <v>冯宣华</v>
      </c>
      <c r="E72" s="25" t="str">
        <f>"322420210822005229103130"</f>
        <v>322420210822005229103130</v>
      </c>
      <c r="F72" s="20" t="s">
        <v>29</v>
      </c>
      <c r="G72" s="33" t="s">
        <v>30</v>
      </c>
      <c r="H72" s="34"/>
      <c r="I72" s="31" t="s">
        <v>15</v>
      </c>
      <c r="J72" s="19"/>
    </row>
    <row r="73" ht="29" customHeight="1" spans="1:10">
      <c r="A73" s="17"/>
      <c r="B73" s="27"/>
      <c r="C73" s="19">
        <v>18</v>
      </c>
      <c r="D73" s="20" t="str">
        <f>"黄秋霜"</f>
        <v>黄秋霜</v>
      </c>
      <c r="E73" s="25" t="str">
        <f>"322420210817105400101039"</f>
        <v>322420210817105400101039</v>
      </c>
      <c r="F73" s="20" t="s">
        <v>31</v>
      </c>
      <c r="G73" s="33" t="s">
        <v>32</v>
      </c>
      <c r="H73" s="34"/>
      <c r="I73" s="31" t="s">
        <v>15</v>
      </c>
      <c r="J73" s="19"/>
    </row>
    <row r="74" ht="29" customHeight="1" spans="1:10">
      <c r="A74" s="17"/>
      <c r="B74" s="27"/>
      <c r="C74" s="19">
        <v>19</v>
      </c>
      <c r="D74" s="20" t="str">
        <f>"吴昕颖"</f>
        <v>吴昕颖</v>
      </c>
      <c r="E74" s="25" t="str">
        <f>"322420210817184343101420"</f>
        <v>322420210817184343101420</v>
      </c>
      <c r="F74" s="20" t="s">
        <v>31</v>
      </c>
      <c r="G74" s="33" t="s">
        <v>32</v>
      </c>
      <c r="H74" s="34"/>
      <c r="I74" s="31" t="s">
        <v>15</v>
      </c>
      <c r="J74" s="19"/>
    </row>
    <row r="75" ht="29" customHeight="1" spans="1:10">
      <c r="A75" s="17"/>
      <c r="B75" s="27"/>
      <c r="C75" s="19">
        <v>20</v>
      </c>
      <c r="D75" s="20" t="str">
        <f>"符碧南"</f>
        <v>符碧南</v>
      </c>
      <c r="E75" s="25" t="str">
        <f>"322420210817200227101460"</f>
        <v>322420210817200227101460</v>
      </c>
      <c r="F75" s="20" t="s">
        <v>31</v>
      </c>
      <c r="G75" s="33" t="s">
        <v>32</v>
      </c>
      <c r="H75" s="34"/>
      <c r="I75" s="31" t="s">
        <v>15</v>
      </c>
      <c r="J75" s="19"/>
    </row>
    <row r="76" ht="29" customHeight="1" spans="1:10">
      <c r="A76" s="17"/>
      <c r="B76" s="27"/>
      <c r="C76" s="19">
        <v>21</v>
      </c>
      <c r="D76" s="20" t="str">
        <f>"姜春苗"</f>
        <v>姜春苗</v>
      </c>
      <c r="E76" s="25" t="str">
        <f>"322420210818093943101685"</f>
        <v>322420210818093943101685</v>
      </c>
      <c r="F76" s="20" t="s">
        <v>31</v>
      </c>
      <c r="G76" s="33" t="s">
        <v>32</v>
      </c>
      <c r="H76" s="34"/>
      <c r="I76" s="31" t="s">
        <v>15</v>
      </c>
      <c r="J76" s="19"/>
    </row>
    <row r="77" ht="29" customHeight="1" spans="1:10">
      <c r="A77" s="17"/>
      <c r="B77" s="27"/>
      <c r="C77" s="19">
        <v>22</v>
      </c>
      <c r="D77" s="20" t="str">
        <f>"李淑坚"</f>
        <v>李淑坚</v>
      </c>
      <c r="E77" s="25" t="str">
        <f>"322420210818215527102189"</f>
        <v>322420210818215527102189</v>
      </c>
      <c r="F77" s="20" t="s">
        <v>31</v>
      </c>
      <c r="G77" s="33" t="s">
        <v>32</v>
      </c>
      <c r="H77" s="34"/>
      <c r="I77" s="31" t="s">
        <v>15</v>
      </c>
      <c r="J77" s="19"/>
    </row>
    <row r="78" ht="29" customHeight="1" spans="1:10">
      <c r="A78" s="17"/>
      <c r="B78" s="27"/>
      <c r="C78" s="19">
        <v>23</v>
      </c>
      <c r="D78" s="20" t="str">
        <f>"邓陈杏"</f>
        <v>邓陈杏</v>
      </c>
      <c r="E78" s="25" t="str">
        <f>"322420210819201433102620"</f>
        <v>322420210819201433102620</v>
      </c>
      <c r="F78" s="20" t="s">
        <v>31</v>
      </c>
      <c r="G78" s="33" t="s">
        <v>32</v>
      </c>
      <c r="H78" s="34" t="s">
        <v>22</v>
      </c>
      <c r="I78" s="31">
        <v>81.33</v>
      </c>
      <c r="J78" s="19"/>
    </row>
    <row r="79" ht="29" customHeight="1" spans="1:10">
      <c r="A79" s="17"/>
      <c r="B79" s="27"/>
      <c r="C79" s="19">
        <v>24</v>
      </c>
      <c r="D79" s="20" t="str">
        <f>"胡连美"</f>
        <v>胡连美</v>
      </c>
      <c r="E79" s="25" t="str">
        <f>"322420210819233709102667"</f>
        <v>322420210819233709102667</v>
      </c>
      <c r="F79" s="20" t="s">
        <v>31</v>
      </c>
      <c r="G79" s="33" t="s">
        <v>32</v>
      </c>
      <c r="H79" s="34"/>
      <c r="I79" s="31" t="s">
        <v>15</v>
      </c>
      <c r="J79" s="19"/>
    </row>
    <row r="80" ht="29" customHeight="1" spans="1:10">
      <c r="A80" s="17"/>
      <c r="B80" s="27"/>
      <c r="C80" s="19">
        <v>25</v>
      </c>
      <c r="D80" s="20" t="str">
        <f>"丁紫欣"</f>
        <v>丁紫欣</v>
      </c>
      <c r="E80" s="25" t="str">
        <f>"322420210820003536102675"</f>
        <v>322420210820003536102675</v>
      </c>
      <c r="F80" s="20" t="s">
        <v>31</v>
      </c>
      <c r="G80" s="33" t="s">
        <v>32</v>
      </c>
      <c r="H80" s="34"/>
      <c r="I80" s="31" t="s">
        <v>15</v>
      </c>
      <c r="J80" s="19"/>
    </row>
    <row r="81" ht="29" customHeight="1" spans="1:10">
      <c r="A81" s="17"/>
      <c r="B81" s="27"/>
      <c r="C81" s="19">
        <v>26</v>
      </c>
      <c r="D81" s="20" t="str">
        <f>"陈芳慧"</f>
        <v>陈芳慧</v>
      </c>
      <c r="E81" s="25" t="str">
        <f>"322420210820180315102868"</f>
        <v>322420210820180315102868</v>
      </c>
      <c r="F81" s="20" t="s">
        <v>31</v>
      </c>
      <c r="G81" s="33" t="s">
        <v>32</v>
      </c>
      <c r="H81" s="34"/>
      <c r="I81" s="31" t="s">
        <v>15</v>
      </c>
      <c r="J81" s="19"/>
    </row>
    <row r="82" ht="29" customHeight="1" spans="1:10">
      <c r="A82" s="17"/>
      <c r="B82" s="27"/>
      <c r="C82" s="19">
        <v>27</v>
      </c>
      <c r="D82" s="20" t="str">
        <f>"陈辉苗"</f>
        <v>陈辉苗</v>
      </c>
      <c r="E82" s="25" t="str">
        <f>"322420210821235309103124"</f>
        <v>322420210821235309103124</v>
      </c>
      <c r="F82" s="20" t="s">
        <v>31</v>
      </c>
      <c r="G82" s="33" t="s">
        <v>32</v>
      </c>
      <c r="H82" s="34" t="s">
        <v>17</v>
      </c>
      <c r="I82" s="31">
        <v>85.33</v>
      </c>
      <c r="J82" s="19"/>
    </row>
    <row r="83" ht="29" customHeight="1" spans="1:10">
      <c r="A83" s="17"/>
      <c r="B83" s="27"/>
      <c r="C83" s="19">
        <v>28</v>
      </c>
      <c r="D83" s="20" t="str">
        <f>"邱敏"</f>
        <v>邱敏</v>
      </c>
      <c r="E83" s="25" t="str">
        <f>"322420210822112817103176"</f>
        <v>322420210822112817103176</v>
      </c>
      <c r="F83" s="20" t="s">
        <v>31</v>
      </c>
      <c r="G83" s="33" t="s">
        <v>32</v>
      </c>
      <c r="H83" s="34"/>
      <c r="I83" s="31" t="s">
        <v>15</v>
      </c>
      <c r="J83" s="19"/>
    </row>
    <row r="84" ht="29" customHeight="1" spans="1:10">
      <c r="A84" s="17"/>
      <c r="B84" s="35"/>
      <c r="C84" s="19">
        <v>29</v>
      </c>
      <c r="D84" s="20" t="str">
        <f>"翁翠梨"</f>
        <v>翁翠梨</v>
      </c>
      <c r="E84" s="25" t="str">
        <f>"322420210817104859101032"</f>
        <v>322420210817104859101032</v>
      </c>
      <c r="F84" s="20" t="s">
        <v>31</v>
      </c>
      <c r="G84" s="33" t="s">
        <v>32</v>
      </c>
      <c r="H84" s="34"/>
      <c r="I84" s="31" t="s">
        <v>15</v>
      </c>
      <c r="J84" s="19"/>
    </row>
    <row r="85" ht="27" customHeight="1" spans="1:10">
      <c r="A85" s="15" t="s">
        <v>33</v>
      </c>
      <c r="B85" s="18" t="s">
        <v>19</v>
      </c>
      <c r="C85" s="21">
        <v>1</v>
      </c>
      <c r="D85" s="20" t="str">
        <f>"王玲玲"</f>
        <v>王玲玲</v>
      </c>
      <c r="E85" s="25" t="str">
        <f>"322420210818233212102242"</f>
        <v>322420210818233212102242</v>
      </c>
      <c r="F85" s="36" t="s">
        <v>34</v>
      </c>
      <c r="G85" s="33" t="s">
        <v>35</v>
      </c>
      <c r="H85" s="37"/>
      <c r="I85" s="31" t="s">
        <v>15</v>
      </c>
      <c r="J85" s="43"/>
    </row>
    <row r="86" ht="27" customHeight="1" spans="1:10">
      <c r="A86" s="15"/>
      <c r="B86" s="23"/>
      <c r="C86" s="21">
        <v>2</v>
      </c>
      <c r="D86" s="20" t="str">
        <f>"王娜二"</f>
        <v>王娜二</v>
      </c>
      <c r="E86" s="25" t="str">
        <f>"322420210819115748102409"</f>
        <v>322420210819115748102409</v>
      </c>
      <c r="F86" s="36" t="s">
        <v>34</v>
      </c>
      <c r="G86" s="33" t="s">
        <v>35</v>
      </c>
      <c r="H86" s="34"/>
      <c r="I86" s="31" t="s">
        <v>15</v>
      </c>
      <c r="J86" s="19"/>
    </row>
    <row r="87" ht="27" customHeight="1" spans="1:10">
      <c r="A87" s="15"/>
      <c r="B87" s="23"/>
      <c r="C87" s="21">
        <v>3</v>
      </c>
      <c r="D87" s="20" t="str">
        <f>"李佳珍"</f>
        <v>李佳珍</v>
      </c>
      <c r="E87" s="25" t="str">
        <f>"322420210819165252102575"</f>
        <v>322420210819165252102575</v>
      </c>
      <c r="F87" s="36" t="s">
        <v>34</v>
      </c>
      <c r="G87" s="33" t="s">
        <v>35</v>
      </c>
      <c r="H87" s="34"/>
      <c r="I87" s="31" t="s">
        <v>15</v>
      </c>
      <c r="J87" s="19"/>
    </row>
    <row r="88" ht="27" customHeight="1" spans="1:10">
      <c r="A88" s="15"/>
      <c r="B88" s="23"/>
      <c r="C88" s="21">
        <v>4</v>
      </c>
      <c r="D88" s="20" t="str">
        <f>"陈垂俊"</f>
        <v>陈垂俊</v>
      </c>
      <c r="E88" s="25" t="str">
        <f>"322420210819204502102622"</f>
        <v>322420210819204502102622</v>
      </c>
      <c r="F88" s="36" t="s">
        <v>34</v>
      </c>
      <c r="G88" s="33" t="s">
        <v>35</v>
      </c>
      <c r="H88" s="34"/>
      <c r="I88" s="31" t="s">
        <v>15</v>
      </c>
      <c r="J88" s="19"/>
    </row>
    <row r="89" ht="27" customHeight="1" spans="1:10">
      <c r="A89" s="15"/>
      <c r="B89" s="23"/>
      <c r="C89" s="21">
        <v>5</v>
      </c>
      <c r="D89" s="20" t="str">
        <f>"郭震"</f>
        <v>郭震</v>
      </c>
      <c r="E89" s="25" t="str">
        <f>"322420210820120614102770"</f>
        <v>322420210820120614102770</v>
      </c>
      <c r="F89" s="36" t="s">
        <v>34</v>
      </c>
      <c r="G89" s="33" t="s">
        <v>35</v>
      </c>
      <c r="H89" s="34"/>
      <c r="I89" s="31" t="s">
        <v>15</v>
      </c>
      <c r="J89" s="19"/>
    </row>
    <row r="90" ht="27" customHeight="1" spans="1:10">
      <c r="A90" s="15"/>
      <c r="B90" s="23"/>
      <c r="C90" s="21">
        <v>6</v>
      </c>
      <c r="D90" s="20" t="str">
        <f>"李多科"</f>
        <v>李多科</v>
      </c>
      <c r="E90" s="25" t="str">
        <f>"322420210821135812103001"</f>
        <v>322420210821135812103001</v>
      </c>
      <c r="F90" s="36" t="s">
        <v>34</v>
      </c>
      <c r="G90" s="33" t="s">
        <v>35</v>
      </c>
      <c r="H90" s="34"/>
      <c r="I90" s="31" t="s">
        <v>15</v>
      </c>
      <c r="J90" s="19"/>
    </row>
    <row r="91" ht="27" customHeight="1" spans="1:10">
      <c r="A91" s="15"/>
      <c r="B91" s="23"/>
      <c r="C91" s="21">
        <v>7</v>
      </c>
      <c r="D91" s="20" t="str">
        <f>"李芳蔷"</f>
        <v>李芳蔷</v>
      </c>
      <c r="E91" s="25" t="str">
        <f>"322420210822091641103150"</f>
        <v>322420210822091641103150</v>
      </c>
      <c r="F91" s="36" t="s">
        <v>34</v>
      </c>
      <c r="G91" s="33" t="s">
        <v>35</v>
      </c>
      <c r="H91" s="34"/>
      <c r="I91" s="31" t="s">
        <v>15</v>
      </c>
      <c r="J91" s="19"/>
    </row>
    <row r="92" ht="27" customHeight="1" spans="1:10">
      <c r="A92" s="15"/>
      <c r="B92" s="23"/>
      <c r="C92" s="21">
        <v>8</v>
      </c>
      <c r="D92" s="20" t="str">
        <f>"文铭昕"</f>
        <v>文铭昕</v>
      </c>
      <c r="E92" s="25" t="str">
        <f>"322420210817090550100906"</f>
        <v>322420210817090550100906</v>
      </c>
      <c r="F92" s="36" t="s">
        <v>34</v>
      </c>
      <c r="G92" s="33" t="s">
        <v>35</v>
      </c>
      <c r="H92" s="34"/>
      <c r="I92" s="31" t="s">
        <v>15</v>
      </c>
      <c r="J92" s="19"/>
    </row>
    <row r="93" ht="27" customHeight="1" spans="1:10">
      <c r="A93" s="15"/>
      <c r="B93" s="23"/>
      <c r="C93" s="21">
        <v>9</v>
      </c>
      <c r="D93" s="20" t="str">
        <f>"王南"</f>
        <v>王南</v>
      </c>
      <c r="E93" s="25" t="str">
        <f>"322420210817091036100911"</f>
        <v>322420210817091036100911</v>
      </c>
      <c r="F93" s="36" t="s">
        <v>34</v>
      </c>
      <c r="G93" s="33" t="s">
        <v>35</v>
      </c>
      <c r="H93" s="34" t="s">
        <v>16</v>
      </c>
      <c r="I93" s="31">
        <v>87</v>
      </c>
      <c r="J93" s="19"/>
    </row>
    <row r="94" ht="27" customHeight="1" spans="1:10">
      <c r="A94" s="15"/>
      <c r="B94" s="23"/>
      <c r="C94" s="21">
        <v>10</v>
      </c>
      <c r="D94" s="20" t="str">
        <f>"朱丽年"</f>
        <v>朱丽年</v>
      </c>
      <c r="E94" s="25" t="str">
        <f>"322420210817091310100913"</f>
        <v>322420210817091310100913</v>
      </c>
      <c r="F94" s="36" t="s">
        <v>34</v>
      </c>
      <c r="G94" s="33" t="s">
        <v>35</v>
      </c>
      <c r="H94" s="34" t="s">
        <v>22</v>
      </c>
      <c r="I94" s="31">
        <v>86.83</v>
      </c>
      <c r="J94" s="19"/>
    </row>
    <row r="95" ht="27" customHeight="1" spans="1:10">
      <c r="A95" s="15"/>
      <c r="B95" s="23"/>
      <c r="C95" s="21">
        <v>11</v>
      </c>
      <c r="D95" s="20" t="str">
        <f>"蔡崖"</f>
        <v>蔡崖</v>
      </c>
      <c r="E95" s="25" t="str">
        <f>"322420210817104738101031"</f>
        <v>322420210817104738101031</v>
      </c>
      <c r="F95" s="36" t="s">
        <v>34</v>
      </c>
      <c r="G95" s="33" t="s">
        <v>35</v>
      </c>
      <c r="H95" s="34"/>
      <c r="I95" s="31" t="s">
        <v>15</v>
      </c>
      <c r="J95" s="19"/>
    </row>
    <row r="96" ht="27" customHeight="1" spans="1:10">
      <c r="A96" s="15"/>
      <c r="B96" s="23"/>
      <c r="C96" s="21">
        <v>12</v>
      </c>
      <c r="D96" s="20" t="str">
        <f>"陈茂"</f>
        <v>陈茂</v>
      </c>
      <c r="E96" s="25" t="str">
        <f>"322420210817113057101093"</f>
        <v>322420210817113057101093</v>
      </c>
      <c r="F96" s="36" t="s">
        <v>34</v>
      </c>
      <c r="G96" s="33" t="s">
        <v>35</v>
      </c>
      <c r="H96" s="34"/>
      <c r="I96" s="31" t="s">
        <v>15</v>
      </c>
      <c r="J96" s="19"/>
    </row>
    <row r="97" ht="27" customHeight="1" spans="1:10">
      <c r="A97" s="15"/>
      <c r="B97" s="23"/>
      <c r="C97" s="21">
        <v>13</v>
      </c>
      <c r="D97" s="20" t="str">
        <f>"曾一晗"</f>
        <v>曾一晗</v>
      </c>
      <c r="E97" s="25" t="str">
        <f>"322420210817124149101155"</f>
        <v>322420210817124149101155</v>
      </c>
      <c r="F97" s="36" t="s">
        <v>34</v>
      </c>
      <c r="G97" s="33" t="s">
        <v>35</v>
      </c>
      <c r="H97" s="37"/>
      <c r="I97" s="31" t="s">
        <v>15</v>
      </c>
      <c r="J97" s="43"/>
    </row>
    <row r="98" ht="27" customHeight="1" spans="1:10">
      <c r="A98" s="15"/>
      <c r="B98" s="23"/>
      <c r="C98" s="21">
        <v>14</v>
      </c>
      <c r="D98" s="20" t="str">
        <f>"王彩"</f>
        <v>王彩</v>
      </c>
      <c r="E98" s="25" t="str">
        <f>"322420210817134150101187"</f>
        <v>322420210817134150101187</v>
      </c>
      <c r="F98" s="36" t="s">
        <v>34</v>
      </c>
      <c r="G98" s="33" t="s">
        <v>35</v>
      </c>
      <c r="H98" s="34"/>
      <c r="I98" s="31" t="s">
        <v>15</v>
      </c>
      <c r="J98" s="19"/>
    </row>
    <row r="99" ht="27" customHeight="1" spans="1:10">
      <c r="A99" s="15"/>
      <c r="B99" s="23"/>
      <c r="C99" s="21">
        <v>15</v>
      </c>
      <c r="D99" s="20" t="str">
        <f>"李婉君"</f>
        <v>李婉君</v>
      </c>
      <c r="E99" s="25" t="str">
        <f>"322420210817180702101395"</f>
        <v>322420210817180702101395</v>
      </c>
      <c r="F99" s="36" t="s">
        <v>34</v>
      </c>
      <c r="G99" s="33" t="s">
        <v>35</v>
      </c>
      <c r="H99" s="34"/>
      <c r="I99" s="31" t="s">
        <v>15</v>
      </c>
      <c r="J99" s="19"/>
    </row>
    <row r="100" ht="27" customHeight="1" spans="1:10">
      <c r="A100" s="15"/>
      <c r="B100" s="23"/>
      <c r="C100" s="21">
        <v>16</v>
      </c>
      <c r="D100" s="20" t="str">
        <f>"彭爱花"</f>
        <v>彭爱花</v>
      </c>
      <c r="E100" s="25" t="str">
        <f>"322420210817221104101543"</f>
        <v>322420210817221104101543</v>
      </c>
      <c r="F100" s="36" t="s">
        <v>34</v>
      </c>
      <c r="G100" s="33" t="s">
        <v>35</v>
      </c>
      <c r="H100" s="34"/>
      <c r="I100" s="31" t="s">
        <v>15</v>
      </c>
      <c r="J100" s="19"/>
    </row>
    <row r="101" ht="27" customHeight="1" spans="1:10">
      <c r="A101" s="15"/>
      <c r="B101" s="23"/>
      <c r="C101" s="21">
        <v>17</v>
      </c>
      <c r="D101" s="20" t="str">
        <f>"周芬"</f>
        <v>周芬</v>
      </c>
      <c r="E101" s="25" t="str">
        <f>"322420210818120924101831"</f>
        <v>322420210818120924101831</v>
      </c>
      <c r="F101" s="36" t="s">
        <v>34</v>
      </c>
      <c r="G101" s="33" t="s">
        <v>35</v>
      </c>
      <c r="H101" s="34" t="s">
        <v>25</v>
      </c>
      <c r="I101" s="31">
        <v>78.5</v>
      </c>
      <c r="J101" s="19"/>
    </row>
    <row r="102" ht="27" customHeight="1" spans="1:10">
      <c r="A102" s="15"/>
      <c r="B102" s="23"/>
      <c r="C102" s="21">
        <v>18</v>
      </c>
      <c r="D102" s="20" t="str">
        <f>"黄雪润"</f>
        <v>黄雪润</v>
      </c>
      <c r="E102" s="25" t="str">
        <f>"322420210818144025101913"</f>
        <v>322420210818144025101913</v>
      </c>
      <c r="F102" s="36" t="s">
        <v>34</v>
      </c>
      <c r="G102" s="33" t="s">
        <v>35</v>
      </c>
      <c r="H102" s="34" t="s">
        <v>24</v>
      </c>
      <c r="I102" s="31">
        <v>84.17</v>
      </c>
      <c r="J102" s="19"/>
    </row>
    <row r="103" ht="27" customHeight="1" spans="1:10">
      <c r="A103" s="15"/>
      <c r="B103" s="23"/>
      <c r="C103" s="21">
        <v>19</v>
      </c>
      <c r="D103" s="20" t="str">
        <f>"滕道美"</f>
        <v>滕道美</v>
      </c>
      <c r="E103" s="25" t="str">
        <f>"322420210818160542101977"</f>
        <v>322420210818160542101977</v>
      </c>
      <c r="F103" s="36" t="s">
        <v>34</v>
      </c>
      <c r="G103" s="33" t="s">
        <v>35</v>
      </c>
      <c r="H103" s="34"/>
      <c r="I103" s="31" t="s">
        <v>15</v>
      </c>
      <c r="J103" s="19"/>
    </row>
    <row r="104" ht="27" customHeight="1" spans="1:10">
      <c r="A104" s="15"/>
      <c r="B104" s="23"/>
      <c r="C104" s="21">
        <v>20</v>
      </c>
      <c r="D104" s="20" t="str">
        <f>"杨惠珍"</f>
        <v>杨惠珍</v>
      </c>
      <c r="E104" s="25" t="str">
        <f>"322420210818203919102144"</f>
        <v>322420210818203919102144</v>
      </c>
      <c r="F104" s="36" t="s">
        <v>34</v>
      </c>
      <c r="G104" s="33" t="s">
        <v>35</v>
      </c>
      <c r="H104" s="34"/>
      <c r="I104" s="31" t="s">
        <v>15</v>
      </c>
      <c r="J104" s="19"/>
    </row>
    <row r="105" ht="27" customHeight="1" spans="1:10">
      <c r="A105" s="15"/>
      <c r="B105" s="23"/>
      <c r="C105" s="21">
        <v>21</v>
      </c>
      <c r="D105" s="20" t="str">
        <f>"郑春梅"</f>
        <v>郑春梅</v>
      </c>
      <c r="E105" s="25" t="str">
        <f>"322420210818212416102168"</f>
        <v>322420210818212416102168</v>
      </c>
      <c r="F105" s="36" t="s">
        <v>34</v>
      </c>
      <c r="G105" s="33" t="s">
        <v>35</v>
      </c>
      <c r="H105" s="34" t="s">
        <v>36</v>
      </c>
      <c r="I105" s="31">
        <v>84.67</v>
      </c>
      <c r="J105" s="19"/>
    </row>
    <row r="106" ht="27" customHeight="1" spans="1:10">
      <c r="A106" s="15"/>
      <c r="B106" s="23"/>
      <c r="C106" s="21">
        <v>22</v>
      </c>
      <c r="D106" s="38" t="str">
        <f>"黎春花"</f>
        <v>黎春花</v>
      </c>
      <c r="E106" s="39" t="str">
        <f>"322420210818184950102099"</f>
        <v>322420210818184950102099</v>
      </c>
      <c r="F106" s="36" t="s">
        <v>34</v>
      </c>
      <c r="G106" s="40" t="s">
        <v>35</v>
      </c>
      <c r="H106" s="34" t="s">
        <v>26</v>
      </c>
      <c r="I106" s="31">
        <v>83.83</v>
      </c>
      <c r="J106" s="19"/>
    </row>
    <row r="107" ht="27" customHeight="1" spans="1:10">
      <c r="A107" s="15"/>
      <c r="B107" s="23"/>
      <c r="C107" s="21">
        <v>23</v>
      </c>
      <c r="D107" s="20" t="str">
        <f>"李国柳"</f>
        <v>李国柳</v>
      </c>
      <c r="E107" s="25" t="str">
        <f>"322420210817095328100962"</f>
        <v>322420210817095328100962</v>
      </c>
      <c r="F107" s="36" t="s">
        <v>37</v>
      </c>
      <c r="G107" s="33" t="s">
        <v>38</v>
      </c>
      <c r="H107" s="34" t="s">
        <v>17</v>
      </c>
      <c r="I107" s="31">
        <v>80</v>
      </c>
      <c r="J107" s="19"/>
    </row>
    <row r="108" ht="27" customHeight="1" spans="1:10">
      <c r="A108" s="15"/>
      <c r="B108" s="23"/>
      <c r="C108" s="21">
        <v>24</v>
      </c>
      <c r="D108" s="20" t="str">
        <f>"陈碧花"</f>
        <v>陈碧花</v>
      </c>
      <c r="E108" s="25" t="str">
        <f>"322420210817124133101154"</f>
        <v>322420210817124133101154</v>
      </c>
      <c r="F108" s="36" t="s">
        <v>37</v>
      </c>
      <c r="G108" s="33" t="s">
        <v>38</v>
      </c>
      <c r="H108" s="34" t="s">
        <v>23</v>
      </c>
      <c r="I108" s="31">
        <v>88.5</v>
      </c>
      <c r="J108" s="19"/>
    </row>
    <row r="109" ht="27" customHeight="1" spans="1:10">
      <c r="A109" s="15"/>
      <c r="B109" s="23"/>
      <c r="C109" s="21">
        <v>25</v>
      </c>
      <c r="D109" s="20" t="str">
        <f>"陈莹"</f>
        <v>陈莹</v>
      </c>
      <c r="E109" s="25" t="str">
        <f>"322420210817222758101561"</f>
        <v>322420210817222758101561</v>
      </c>
      <c r="F109" s="36" t="s">
        <v>37</v>
      </c>
      <c r="G109" s="33" t="s">
        <v>38</v>
      </c>
      <c r="H109" s="34"/>
      <c r="I109" s="31" t="s">
        <v>15</v>
      </c>
      <c r="J109" s="19"/>
    </row>
    <row r="110" ht="27" customHeight="1" spans="1:10">
      <c r="A110" s="15"/>
      <c r="B110" s="23"/>
      <c r="C110" s="21">
        <v>26</v>
      </c>
      <c r="D110" s="20" t="str">
        <f>"林彩金"</f>
        <v>林彩金</v>
      </c>
      <c r="E110" s="25" t="str">
        <f>"322420210818111621101787"</f>
        <v>322420210818111621101787</v>
      </c>
      <c r="F110" s="36" t="s">
        <v>37</v>
      </c>
      <c r="G110" s="33" t="s">
        <v>38</v>
      </c>
      <c r="H110" s="34"/>
      <c r="I110" s="31" t="s">
        <v>15</v>
      </c>
      <c r="J110" s="19"/>
    </row>
    <row r="111" ht="27" customHeight="1" spans="1:10">
      <c r="A111" s="15"/>
      <c r="B111" s="23"/>
      <c r="C111" s="21">
        <v>27</v>
      </c>
      <c r="D111" s="20" t="str">
        <f>"莫美英"</f>
        <v>莫美英</v>
      </c>
      <c r="E111" s="25" t="str">
        <f>"322420210818201804102131"</f>
        <v>322420210818201804102131</v>
      </c>
      <c r="F111" s="36" t="s">
        <v>37</v>
      </c>
      <c r="G111" s="33" t="s">
        <v>38</v>
      </c>
      <c r="H111" s="34"/>
      <c r="I111" s="31" t="s">
        <v>15</v>
      </c>
      <c r="J111" s="19"/>
    </row>
    <row r="112" ht="27" customHeight="1" spans="1:10">
      <c r="A112" s="15"/>
      <c r="B112" s="23"/>
      <c r="C112" s="21">
        <v>28</v>
      </c>
      <c r="D112" s="20" t="str">
        <f>"王慧娴"</f>
        <v>王慧娴</v>
      </c>
      <c r="E112" s="25" t="str">
        <f>"322420210819100219102322"</f>
        <v>322420210819100219102322</v>
      </c>
      <c r="F112" s="36" t="s">
        <v>37</v>
      </c>
      <c r="G112" s="33" t="s">
        <v>38</v>
      </c>
      <c r="H112" s="34" t="s">
        <v>39</v>
      </c>
      <c r="I112" s="31">
        <v>84.5</v>
      </c>
      <c r="J112" s="19"/>
    </row>
    <row r="113" ht="27" customHeight="1" spans="1:10">
      <c r="A113" s="15"/>
      <c r="B113" s="23"/>
      <c r="C113" s="21">
        <v>29</v>
      </c>
      <c r="D113" s="20" t="str">
        <f>"陈晓慧"</f>
        <v>陈晓慧</v>
      </c>
      <c r="E113" s="25" t="str">
        <f>"322420210819100429102323"</f>
        <v>322420210819100429102323</v>
      </c>
      <c r="F113" s="36" t="s">
        <v>37</v>
      </c>
      <c r="G113" s="33" t="s">
        <v>38</v>
      </c>
      <c r="H113" s="34"/>
      <c r="I113" s="31" t="s">
        <v>15</v>
      </c>
      <c r="J113" s="19"/>
    </row>
    <row r="114" ht="27" customHeight="1" spans="1:10">
      <c r="A114" s="15"/>
      <c r="B114" s="23"/>
      <c r="C114" s="21">
        <v>30</v>
      </c>
      <c r="D114" s="20" t="str">
        <f>"王紫薇"</f>
        <v>王紫薇</v>
      </c>
      <c r="E114" s="25" t="str">
        <f>"322420210820114612102763"</f>
        <v>322420210820114612102763</v>
      </c>
      <c r="F114" s="36" t="s">
        <v>37</v>
      </c>
      <c r="G114" s="33" t="s">
        <v>38</v>
      </c>
      <c r="H114" s="34"/>
      <c r="I114" s="31" t="s">
        <v>15</v>
      </c>
      <c r="J114" s="19"/>
    </row>
    <row r="115" ht="27" customHeight="1" spans="1:10">
      <c r="A115" s="15"/>
      <c r="B115" s="24"/>
      <c r="C115" s="21">
        <v>31</v>
      </c>
      <c r="D115" s="20" t="str">
        <f>"万火玉"</f>
        <v>万火玉</v>
      </c>
      <c r="E115" s="25" t="str">
        <f>"322420210817094212100950"</f>
        <v>322420210817094212100950</v>
      </c>
      <c r="F115" s="36" t="s">
        <v>37</v>
      </c>
      <c r="G115" s="33" t="s">
        <v>38</v>
      </c>
      <c r="H115" s="34"/>
      <c r="I115" s="31" t="s">
        <v>15</v>
      </c>
      <c r="J115" s="19"/>
    </row>
    <row r="116" ht="38" customHeight="1" spans="1:10">
      <c r="A116" s="15" t="s">
        <v>40</v>
      </c>
      <c r="B116" s="41" t="s">
        <v>41</v>
      </c>
      <c r="C116" s="19">
        <v>1</v>
      </c>
      <c r="D116" s="20" t="str">
        <f>"王佳佳"</f>
        <v>王佳佳</v>
      </c>
      <c r="E116" s="21" t="str">
        <f>"322420210817091456100917"</f>
        <v>322420210817091456100917</v>
      </c>
      <c r="F116" s="36" t="s">
        <v>20</v>
      </c>
      <c r="G116" s="33" t="s">
        <v>42</v>
      </c>
      <c r="H116" s="34"/>
      <c r="I116" s="31" t="s">
        <v>15</v>
      </c>
      <c r="J116" s="19"/>
    </row>
    <row r="117" ht="38" customHeight="1" spans="1:10">
      <c r="A117" s="15"/>
      <c r="B117" s="42"/>
      <c r="C117" s="19">
        <v>2</v>
      </c>
      <c r="D117" s="20" t="str">
        <f>"吴小南"</f>
        <v>吴小南</v>
      </c>
      <c r="E117" s="21" t="str">
        <f>"322420210817092724100930"</f>
        <v>322420210817092724100930</v>
      </c>
      <c r="F117" s="36" t="s">
        <v>20</v>
      </c>
      <c r="G117" s="33" t="s">
        <v>42</v>
      </c>
      <c r="H117" s="34" t="s">
        <v>22</v>
      </c>
      <c r="I117" s="31">
        <v>78.33</v>
      </c>
      <c r="J117" s="19"/>
    </row>
    <row r="118" ht="38" customHeight="1" spans="1:10">
      <c r="A118" s="15"/>
      <c r="B118" s="42"/>
      <c r="C118" s="19">
        <v>3</v>
      </c>
      <c r="D118" s="20" t="str">
        <f>"肖梦玉"</f>
        <v>肖梦玉</v>
      </c>
      <c r="E118" s="21" t="str">
        <f>"322420210817103449101020"</f>
        <v>322420210817103449101020</v>
      </c>
      <c r="F118" s="36" t="s">
        <v>20</v>
      </c>
      <c r="G118" s="33" t="s">
        <v>42</v>
      </c>
      <c r="H118" s="34" t="s">
        <v>25</v>
      </c>
      <c r="I118" s="31">
        <v>80</v>
      </c>
      <c r="J118" s="19"/>
    </row>
    <row r="119" ht="38" customHeight="1" spans="1:10">
      <c r="A119" s="15"/>
      <c r="B119" s="42"/>
      <c r="C119" s="19">
        <v>4</v>
      </c>
      <c r="D119" s="20" t="str">
        <f>"邱明煌"</f>
        <v>邱明煌</v>
      </c>
      <c r="E119" s="21" t="str">
        <f>"322420210817111011101060"</f>
        <v>322420210817111011101060</v>
      </c>
      <c r="F119" s="36" t="s">
        <v>20</v>
      </c>
      <c r="G119" s="33" t="s">
        <v>42</v>
      </c>
      <c r="H119" s="34"/>
      <c r="I119" s="31" t="s">
        <v>15</v>
      </c>
      <c r="J119" s="19"/>
    </row>
    <row r="120" ht="38" customHeight="1" spans="1:10">
      <c r="A120" s="15"/>
      <c r="B120" s="42"/>
      <c r="C120" s="19">
        <v>5</v>
      </c>
      <c r="D120" s="20" t="str">
        <f>"王书美"</f>
        <v>王书美</v>
      </c>
      <c r="E120" s="21" t="str">
        <f>"322420210817113733101104"</f>
        <v>322420210817113733101104</v>
      </c>
      <c r="F120" s="36" t="s">
        <v>20</v>
      </c>
      <c r="G120" s="33" t="s">
        <v>42</v>
      </c>
      <c r="H120" s="34" t="s">
        <v>23</v>
      </c>
      <c r="I120" s="31">
        <v>80.33</v>
      </c>
      <c r="J120" s="19"/>
    </row>
    <row r="121" ht="38" customHeight="1" spans="1:10">
      <c r="A121" s="15"/>
      <c r="B121" s="42"/>
      <c r="C121" s="19">
        <v>6</v>
      </c>
      <c r="D121" s="20" t="str">
        <f>"王世标"</f>
        <v>王世标</v>
      </c>
      <c r="E121" s="21" t="str">
        <f>"322420210817131237101172"</f>
        <v>322420210817131237101172</v>
      </c>
      <c r="F121" s="36" t="s">
        <v>20</v>
      </c>
      <c r="G121" s="33" t="s">
        <v>42</v>
      </c>
      <c r="H121" s="34"/>
      <c r="I121" s="31" t="s">
        <v>15</v>
      </c>
      <c r="J121" s="19"/>
    </row>
    <row r="122" ht="38" customHeight="1" spans="1:10">
      <c r="A122" s="15"/>
      <c r="B122" s="42"/>
      <c r="C122" s="19">
        <v>7</v>
      </c>
      <c r="D122" s="20" t="str">
        <f>"程子隽"</f>
        <v>程子隽</v>
      </c>
      <c r="E122" s="21" t="str">
        <f>"322420210817145607101237"</f>
        <v>322420210817145607101237</v>
      </c>
      <c r="F122" s="36" t="s">
        <v>20</v>
      </c>
      <c r="G122" s="33" t="s">
        <v>42</v>
      </c>
      <c r="H122" s="34" t="s">
        <v>24</v>
      </c>
      <c r="I122" s="31">
        <v>84.67</v>
      </c>
      <c r="J122" s="19"/>
    </row>
    <row r="123" ht="38" customHeight="1" spans="1:10">
      <c r="A123" s="15"/>
      <c r="B123" s="42"/>
      <c r="C123" s="19">
        <v>8</v>
      </c>
      <c r="D123" s="20" t="str">
        <f>"王政太"</f>
        <v>王政太</v>
      </c>
      <c r="E123" s="21" t="str">
        <f>"322420210817163800101324"</f>
        <v>322420210817163800101324</v>
      </c>
      <c r="F123" s="36" t="s">
        <v>20</v>
      </c>
      <c r="G123" s="33" t="s">
        <v>42</v>
      </c>
      <c r="H123" s="34"/>
      <c r="I123" s="31" t="s">
        <v>15</v>
      </c>
      <c r="J123" s="19"/>
    </row>
    <row r="124" ht="38" customHeight="1" spans="1:10">
      <c r="A124" s="15"/>
      <c r="B124" s="42"/>
      <c r="C124" s="19">
        <v>9</v>
      </c>
      <c r="D124" s="20" t="str">
        <f>"谭春月"</f>
        <v>谭春月</v>
      </c>
      <c r="E124" s="21" t="str">
        <f>"322420210817235438101597"</f>
        <v>322420210817235438101597</v>
      </c>
      <c r="F124" s="36" t="s">
        <v>20</v>
      </c>
      <c r="G124" s="33" t="s">
        <v>42</v>
      </c>
      <c r="H124" s="37"/>
      <c r="I124" s="31" t="s">
        <v>15</v>
      </c>
      <c r="J124" s="43"/>
    </row>
    <row r="125" ht="38" customHeight="1" spans="1:10">
      <c r="A125" s="15"/>
      <c r="B125" s="42"/>
      <c r="C125" s="19">
        <v>10</v>
      </c>
      <c r="D125" s="20" t="str">
        <f>"符英珠"</f>
        <v>符英珠</v>
      </c>
      <c r="E125" s="21" t="str">
        <f>"322420210818070138101621"</f>
        <v>322420210818070138101621</v>
      </c>
      <c r="F125" s="36" t="s">
        <v>20</v>
      </c>
      <c r="G125" s="33" t="s">
        <v>42</v>
      </c>
      <c r="H125" s="34"/>
      <c r="I125" s="31" t="s">
        <v>15</v>
      </c>
      <c r="J125" s="19"/>
    </row>
    <row r="126" ht="38" customHeight="1" spans="1:10">
      <c r="A126" s="15"/>
      <c r="B126" s="42"/>
      <c r="C126" s="19">
        <v>11</v>
      </c>
      <c r="D126" s="20" t="str">
        <f>"杜春燕"</f>
        <v>杜春燕</v>
      </c>
      <c r="E126" s="21" t="str">
        <f>"322420210818092614101670"</f>
        <v>322420210818092614101670</v>
      </c>
      <c r="F126" s="36" t="s">
        <v>20</v>
      </c>
      <c r="G126" s="33" t="s">
        <v>42</v>
      </c>
      <c r="H126" s="34"/>
      <c r="I126" s="31" t="s">
        <v>15</v>
      </c>
      <c r="J126" s="19"/>
    </row>
    <row r="127" ht="38" customHeight="1" spans="1:10">
      <c r="A127" s="15"/>
      <c r="B127" s="42"/>
      <c r="C127" s="19">
        <v>12</v>
      </c>
      <c r="D127" s="20" t="str">
        <f>"何芳"</f>
        <v>何芳</v>
      </c>
      <c r="E127" s="21" t="str">
        <f>"322420210818123533101843"</f>
        <v>322420210818123533101843</v>
      </c>
      <c r="F127" s="36" t="s">
        <v>20</v>
      </c>
      <c r="G127" s="33" t="s">
        <v>42</v>
      </c>
      <c r="H127" s="34"/>
      <c r="I127" s="31" t="s">
        <v>15</v>
      </c>
      <c r="J127" s="19"/>
    </row>
    <row r="128" ht="38" customHeight="1" spans="1:10">
      <c r="A128" s="15"/>
      <c r="B128" s="42"/>
      <c r="C128" s="19">
        <v>13</v>
      </c>
      <c r="D128" s="20" t="str">
        <f>"滕欣宇"</f>
        <v>滕欣宇</v>
      </c>
      <c r="E128" s="21" t="str">
        <f>"322420210818145944101926"</f>
        <v>322420210818145944101926</v>
      </c>
      <c r="F128" s="36" t="s">
        <v>20</v>
      </c>
      <c r="G128" s="33" t="s">
        <v>42</v>
      </c>
      <c r="H128" s="34" t="s">
        <v>17</v>
      </c>
      <c r="I128" s="31">
        <v>82</v>
      </c>
      <c r="J128" s="19"/>
    </row>
    <row r="129" ht="38" customHeight="1" spans="1:10">
      <c r="A129" s="15"/>
      <c r="B129" s="42"/>
      <c r="C129" s="19">
        <v>14</v>
      </c>
      <c r="D129" s="20" t="str">
        <f>"王盈"</f>
        <v>王盈</v>
      </c>
      <c r="E129" s="21" t="str">
        <f>"322420210818221302102204"</f>
        <v>322420210818221302102204</v>
      </c>
      <c r="F129" s="36" t="s">
        <v>20</v>
      </c>
      <c r="G129" s="33" t="s">
        <v>42</v>
      </c>
      <c r="H129" s="34"/>
      <c r="I129" s="31" t="s">
        <v>15</v>
      </c>
      <c r="J129" s="19"/>
    </row>
    <row r="130" ht="38" customHeight="1" spans="1:10">
      <c r="A130" s="15"/>
      <c r="B130" s="42"/>
      <c r="C130" s="19">
        <v>15</v>
      </c>
      <c r="D130" s="20" t="str">
        <f>"林志学"</f>
        <v>林志学</v>
      </c>
      <c r="E130" s="21" t="str">
        <f>"322420210818224157102215"</f>
        <v>322420210818224157102215</v>
      </c>
      <c r="F130" s="36" t="s">
        <v>20</v>
      </c>
      <c r="G130" s="33" t="s">
        <v>42</v>
      </c>
      <c r="H130" s="34" t="s">
        <v>16</v>
      </c>
      <c r="I130" s="31">
        <v>85.33</v>
      </c>
      <c r="J130" s="19"/>
    </row>
    <row r="131" ht="38" customHeight="1" spans="1:10">
      <c r="A131" s="15"/>
      <c r="B131" s="42"/>
      <c r="C131" s="19">
        <v>16</v>
      </c>
      <c r="D131" s="20" t="str">
        <f>"符小凤"</f>
        <v>符小凤</v>
      </c>
      <c r="E131" s="21" t="str">
        <f>"322420210819161752102550"</f>
        <v>322420210819161752102550</v>
      </c>
      <c r="F131" s="36" t="s">
        <v>20</v>
      </c>
      <c r="G131" s="33" t="s">
        <v>42</v>
      </c>
      <c r="H131" s="34"/>
      <c r="I131" s="31" t="s">
        <v>15</v>
      </c>
      <c r="J131" s="19"/>
    </row>
    <row r="132" ht="38" customHeight="1" spans="1:10">
      <c r="A132" s="15"/>
      <c r="B132" s="42"/>
      <c r="C132" s="19">
        <v>17</v>
      </c>
      <c r="D132" s="20" t="str">
        <f>"陈孟紫"</f>
        <v>陈孟紫</v>
      </c>
      <c r="E132" s="21" t="str">
        <f>"322420210819161810102551"</f>
        <v>322420210819161810102551</v>
      </c>
      <c r="F132" s="36" t="s">
        <v>20</v>
      </c>
      <c r="G132" s="33" t="s">
        <v>42</v>
      </c>
      <c r="H132" s="34"/>
      <c r="I132" s="31" t="s">
        <v>15</v>
      </c>
      <c r="J132" s="19"/>
    </row>
    <row r="133" ht="38" customHeight="1" spans="1:10">
      <c r="A133" s="15"/>
      <c r="B133" s="42"/>
      <c r="C133" s="19">
        <v>18</v>
      </c>
      <c r="D133" s="20" t="str">
        <f>"张燕美"</f>
        <v>张燕美</v>
      </c>
      <c r="E133" s="21" t="str">
        <f>"322420210820115101102765"</f>
        <v>322420210820115101102765</v>
      </c>
      <c r="F133" s="36" t="s">
        <v>20</v>
      </c>
      <c r="G133" s="33" t="s">
        <v>42</v>
      </c>
      <c r="H133" s="34"/>
      <c r="I133" s="31" t="s">
        <v>15</v>
      </c>
      <c r="J133" s="19"/>
    </row>
    <row r="134" ht="38" customHeight="1" spans="1:10">
      <c r="A134" s="15"/>
      <c r="B134" s="42"/>
      <c r="C134" s="19">
        <v>19</v>
      </c>
      <c r="D134" s="20" t="str">
        <f>"周德志"</f>
        <v>周德志</v>
      </c>
      <c r="E134" s="21" t="str">
        <f>"322420210820165917102849"</f>
        <v>322420210820165917102849</v>
      </c>
      <c r="F134" s="36" t="s">
        <v>20</v>
      </c>
      <c r="G134" s="33" t="s">
        <v>42</v>
      </c>
      <c r="H134" s="34"/>
      <c r="I134" s="31" t="s">
        <v>15</v>
      </c>
      <c r="J134" s="19"/>
    </row>
    <row r="135" ht="38" customHeight="1" spans="1:10">
      <c r="A135" s="15"/>
      <c r="B135" s="42"/>
      <c r="C135" s="19">
        <v>20</v>
      </c>
      <c r="D135" s="20" t="str">
        <f>"王娟"</f>
        <v>王娟</v>
      </c>
      <c r="E135" s="21" t="str">
        <f>"322420210820173051102859"</f>
        <v>322420210820173051102859</v>
      </c>
      <c r="F135" s="36" t="s">
        <v>20</v>
      </c>
      <c r="G135" s="33" t="s">
        <v>42</v>
      </c>
      <c r="H135" s="34"/>
      <c r="I135" s="31" t="s">
        <v>15</v>
      </c>
      <c r="J135" s="19"/>
    </row>
    <row r="136" ht="38" customHeight="1" spans="1:10">
      <c r="A136" s="15"/>
      <c r="B136" s="42"/>
      <c r="C136" s="19">
        <v>21</v>
      </c>
      <c r="D136" s="20" t="str">
        <f>"陈丽淇"</f>
        <v>陈丽淇</v>
      </c>
      <c r="E136" s="21" t="str">
        <f>"322420210821162753103033"</f>
        <v>322420210821162753103033</v>
      </c>
      <c r="F136" s="36" t="s">
        <v>20</v>
      </c>
      <c r="G136" s="33" t="s">
        <v>42</v>
      </c>
      <c r="H136" s="34" t="s">
        <v>26</v>
      </c>
      <c r="I136" s="31">
        <v>90.67</v>
      </c>
      <c r="J136" s="19"/>
    </row>
    <row r="137" ht="38" customHeight="1" spans="1:10">
      <c r="A137" s="15"/>
      <c r="B137" s="44"/>
      <c r="C137" s="19">
        <v>22</v>
      </c>
      <c r="D137" s="20" t="str">
        <f>"林晶晶"</f>
        <v>林晶晶</v>
      </c>
      <c r="E137" s="21" t="str">
        <f>"322420210821171203103047"</f>
        <v>322420210821171203103047</v>
      </c>
      <c r="F137" s="36" t="s">
        <v>20</v>
      </c>
      <c r="G137" s="33" t="s">
        <v>42</v>
      </c>
      <c r="H137" s="34"/>
      <c r="I137" s="31" t="s">
        <v>15</v>
      </c>
      <c r="J137" s="19"/>
    </row>
    <row r="138" ht="34" customHeight="1" spans="1:10">
      <c r="A138" s="15" t="s">
        <v>43</v>
      </c>
      <c r="B138" s="41" t="s">
        <v>44</v>
      </c>
      <c r="C138" s="19">
        <v>1</v>
      </c>
      <c r="D138" s="20" t="str">
        <f>"羊淑芳"</f>
        <v>羊淑芳</v>
      </c>
      <c r="E138" s="21" t="str">
        <f>"322420210817180713101396"</f>
        <v>322420210817180713101396</v>
      </c>
      <c r="F138" s="36" t="s">
        <v>13</v>
      </c>
      <c r="G138" s="33" t="s">
        <v>45</v>
      </c>
      <c r="H138" s="34"/>
      <c r="I138" s="31" t="s">
        <v>15</v>
      </c>
      <c r="J138" s="19"/>
    </row>
    <row r="139" ht="34" customHeight="1" spans="1:10">
      <c r="A139" s="15"/>
      <c r="B139" s="42"/>
      <c r="C139" s="19">
        <v>2</v>
      </c>
      <c r="D139" s="20" t="str">
        <f>"廖婷婷"</f>
        <v>廖婷婷</v>
      </c>
      <c r="E139" s="21" t="str">
        <f>"322420210817210044101497"</f>
        <v>322420210817210044101497</v>
      </c>
      <c r="F139" s="36" t="s">
        <v>13</v>
      </c>
      <c r="G139" s="33" t="s">
        <v>45</v>
      </c>
      <c r="H139" s="34"/>
      <c r="I139" s="31" t="s">
        <v>15</v>
      </c>
      <c r="J139" s="19"/>
    </row>
    <row r="140" ht="34" customHeight="1" spans="1:10">
      <c r="A140" s="15"/>
      <c r="B140" s="42"/>
      <c r="C140" s="19">
        <v>3</v>
      </c>
      <c r="D140" s="20" t="str">
        <f>"黄新萍"</f>
        <v>黄新萍</v>
      </c>
      <c r="E140" s="21" t="str">
        <f>"322420210817212437101518"</f>
        <v>322420210817212437101518</v>
      </c>
      <c r="F140" s="36" t="s">
        <v>13</v>
      </c>
      <c r="G140" s="33" t="s">
        <v>45</v>
      </c>
      <c r="H140" s="34"/>
      <c r="I140" s="31" t="s">
        <v>15</v>
      </c>
      <c r="J140" s="19"/>
    </row>
    <row r="141" ht="34" customHeight="1" spans="1:10">
      <c r="A141" s="15"/>
      <c r="B141" s="42"/>
      <c r="C141" s="19">
        <v>4</v>
      </c>
      <c r="D141" s="20" t="str">
        <f>"符造婷"</f>
        <v>符造婷</v>
      </c>
      <c r="E141" s="21" t="str">
        <f>"322420210818100528101708"</f>
        <v>322420210818100528101708</v>
      </c>
      <c r="F141" s="36" t="s">
        <v>13</v>
      </c>
      <c r="G141" s="33" t="s">
        <v>45</v>
      </c>
      <c r="H141" s="34"/>
      <c r="I141" s="31" t="s">
        <v>15</v>
      </c>
      <c r="J141" s="19"/>
    </row>
    <row r="142" ht="34" customHeight="1" spans="1:10">
      <c r="A142" s="15"/>
      <c r="B142" s="42"/>
      <c r="C142" s="19">
        <v>5</v>
      </c>
      <c r="D142" s="20" t="str">
        <f>"薛婆媛"</f>
        <v>薛婆媛</v>
      </c>
      <c r="E142" s="21" t="str">
        <f>"322420210818105150101757"</f>
        <v>322420210818105150101757</v>
      </c>
      <c r="F142" s="36" t="s">
        <v>13</v>
      </c>
      <c r="G142" s="33" t="s">
        <v>45</v>
      </c>
      <c r="H142" s="34"/>
      <c r="I142" s="31" t="s">
        <v>15</v>
      </c>
      <c r="J142" s="19"/>
    </row>
    <row r="143" ht="34" customHeight="1" spans="1:10">
      <c r="A143" s="15"/>
      <c r="B143" s="42"/>
      <c r="C143" s="19">
        <v>6</v>
      </c>
      <c r="D143" s="20" t="str">
        <f>"陈婷婷"</f>
        <v>陈婷婷</v>
      </c>
      <c r="E143" s="21" t="str">
        <f>"322420210818115717101827"</f>
        <v>322420210818115717101827</v>
      </c>
      <c r="F143" s="36" t="s">
        <v>13</v>
      </c>
      <c r="G143" s="33" t="s">
        <v>45</v>
      </c>
      <c r="H143" s="34"/>
      <c r="I143" s="31" t="s">
        <v>15</v>
      </c>
      <c r="J143" s="19"/>
    </row>
    <row r="144" ht="34" customHeight="1" spans="1:10">
      <c r="A144" s="15"/>
      <c r="B144" s="42"/>
      <c r="C144" s="19">
        <v>7</v>
      </c>
      <c r="D144" s="20" t="str">
        <f>"陈金宝"</f>
        <v>陈金宝</v>
      </c>
      <c r="E144" s="21" t="str">
        <f>"322420210818161622101989"</f>
        <v>322420210818161622101989</v>
      </c>
      <c r="F144" s="36" t="s">
        <v>13</v>
      </c>
      <c r="G144" s="33" t="s">
        <v>45</v>
      </c>
      <c r="H144" s="34"/>
      <c r="I144" s="31" t="s">
        <v>15</v>
      </c>
      <c r="J144" s="19"/>
    </row>
    <row r="145" ht="34" customHeight="1" spans="1:10">
      <c r="A145" s="15"/>
      <c r="B145" s="42"/>
      <c r="C145" s="19">
        <v>8</v>
      </c>
      <c r="D145" s="20" t="str">
        <f>"韦彩丹"</f>
        <v>韦彩丹</v>
      </c>
      <c r="E145" s="21" t="str">
        <f>"322420210818194605102123"</f>
        <v>322420210818194605102123</v>
      </c>
      <c r="F145" s="36" t="s">
        <v>13</v>
      </c>
      <c r="G145" s="33" t="s">
        <v>45</v>
      </c>
      <c r="H145" s="34"/>
      <c r="I145" s="31" t="s">
        <v>15</v>
      </c>
      <c r="J145" s="19"/>
    </row>
    <row r="146" ht="34" customHeight="1" spans="1:10">
      <c r="A146" s="15"/>
      <c r="B146" s="42"/>
      <c r="C146" s="19">
        <v>9</v>
      </c>
      <c r="D146" s="20" t="str">
        <f>"王庆飞"</f>
        <v>王庆飞</v>
      </c>
      <c r="E146" s="21" t="str">
        <f>"322420210818204334102149"</f>
        <v>322420210818204334102149</v>
      </c>
      <c r="F146" s="36" t="s">
        <v>13</v>
      </c>
      <c r="G146" s="33" t="s">
        <v>45</v>
      </c>
      <c r="H146" s="34"/>
      <c r="I146" s="31" t="s">
        <v>15</v>
      </c>
      <c r="J146" s="19"/>
    </row>
    <row r="147" ht="34" customHeight="1" spans="1:10">
      <c r="A147" s="15"/>
      <c r="B147" s="42"/>
      <c r="C147" s="19">
        <v>10</v>
      </c>
      <c r="D147" s="20" t="str">
        <f>"蔡汝芳"</f>
        <v>蔡汝芳</v>
      </c>
      <c r="E147" s="21" t="str">
        <f>"322420210819112141102390"</f>
        <v>322420210819112141102390</v>
      </c>
      <c r="F147" s="36" t="s">
        <v>13</v>
      </c>
      <c r="G147" s="33" t="s">
        <v>45</v>
      </c>
      <c r="H147" s="37"/>
      <c r="I147" s="31" t="s">
        <v>15</v>
      </c>
      <c r="J147" s="43"/>
    </row>
    <row r="148" ht="34" customHeight="1" spans="1:10">
      <c r="A148" s="15"/>
      <c r="B148" s="42"/>
      <c r="C148" s="19">
        <v>11</v>
      </c>
      <c r="D148" s="20" t="str">
        <f>"王坤"</f>
        <v>王坤</v>
      </c>
      <c r="E148" s="21" t="str">
        <f>"322420210819133440102448"</f>
        <v>322420210819133440102448</v>
      </c>
      <c r="F148" s="36" t="s">
        <v>13</v>
      </c>
      <c r="G148" s="33" t="s">
        <v>45</v>
      </c>
      <c r="H148" s="34"/>
      <c r="I148" s="31" t="s">
        <v>15</v>
      </c>
      <c r="J148" s="19"/>
    </row>
    <row r="149" ht="34" customHeight="1" spans="1:10">
      <c r="A149" s="15"/>
      <c r="B149" s="42"/>
      <c r="C149" s="19">
        <v>12</v>
      </c>
      <c r="D149" s="20" t="str">
        <f>"符吉娜"</f>
        <v>符吉娜</v>
      </c>
      <c r="E149" s="21" t="str">
        <f>"322420210819201112102619"</f>
        <v>322420210819201112102619</v>
      </c>
      <c r="F149" s="36" t="s">
        <v>13</v>
      </c>
      <c r="G149" s="33" t="s">
        <v>45</v>
      </c>
      <c r="H149" s="34"/>
      <c r="I149" s="31" t="s">
        <v>15</v>
      </c>
      <c r="J149" s="19"/>
    </row>
    <row r="150" ht="34" customHeight="1" spans="1:10">
      <c r="A150" s="15"/>
      <c r="B150" s="42"/>
      <c r="C150" s="19">
        <v>13</v>
      </c>
      <c r="D150" s="20" t="str">
        <f>"王小风"</f>
        <v>王小风</v>
      </c>
      <c r="E150" s="21" t="str">
        <f>"322420210819220856102644"</f>
        <v>322420210819220856102644</v>
      </c>
      <c r="F150" s="36" t="s">
        <v>13</v>
      </c>
      <c r="G150" s="33" t="s">
        <v>45</v>
      </c>
      <c r="H150" s="34"/>
      <c r="I150" s="31" t="s">
        <v>15</v>
      </c>
      <c r="J150" s="19"/>
    </row>
    <row r="151" ht="34" customHeight="1" spans="1:10">
      <c r="A151" s="15"/>
      <c r="B151" s="42"/>
      <c r="C151" s="19">
        <v>14</v>
      </c>
      <c r="D151" s="20" t="str">
        <f>"黄棉"</f>
        <v>黄棉</v>
      </c>
      <c r="E151" s="21" t="str">
        <f>"322420210820101951102727"</f>
        <v>322420210820101951102727</v>
      </c>
      <c r="F151" s="36" t="s">
        <v>13</v>
      </c>
      <c r="G151" s="33" t="s">
        <v>45</v>
      </c>
      <c r="H151" s="34"/>
      <c r="I151" s="31" t="s">
        <v>15</v>
      </c>
      <c r="J151" s="19"/>
    </row>
    <row r="152" ht="34" customHeight="1" spans="1:10">
      <c r="A152" s="15"/>
      <c r="B152" s="42"/>
      <c r="C152" s="19">
        <v>15</v>
      </c>
      <c r="D152" s="20" t="str">
        <f>"王丹霞"</f>
        <v>王丹霞</v>
      </c>
      <c r="E152" s="21" t="str">
        <f>"322420210817111053101062"</f>
        <v>322420210817111053101062</v>
      </c>
      <c r="F152" s="36" t="s">
        <v>13</v>
      </c>
      <c r="G152" s="33" t="s">
        <v>45</v>
      </c>
      <c r="H152" s="34" t="s">
        <v>17</v>
      </c>
      <c r="I152" s="31">
        <v>91.33</v>
      </c>
      <c r="J152" s="19"/>
    </row>
    <row r="153" ht="34" customHeight="1" spans="1:10">
      <c r="A153" s="15"/>
      <c r="B153" s="42"/>
      <c r="C153" s="19">
        <v>16</v>
      </c>
      <c r="D153" s="20" t="str">
        <f>"杨鸽"</f>
        <v>杨鸽</v>
      </c>
      <c r="E153" s="21" t="str">
        <f>"322420210817121154101133"</f>
        <v>322420210817121154101133</v>
      </c>
      <c r="F153" s="36" t="s">
        <v>13</v>
      </c>
      <c r="G153" s="33" t="s">
        <v>45</v>
      </c>
      <c r="H153" s="34"/>
      <c r="I153" s="31" t="s">
        <v>15</v>
      </c>
      <c r="J153" s="19"/>
    </row>
    <row r="154" ht="34" customHeight="1" spans="1:10">
      <c r="A154" s="15"/>
      <c r="B154" s="42"/>
      <c r="C154" s="19">
        <v>17</v>
      </c>
      <c r="D154" s="20" t="str">
        <f>"蔡秋丽"</f>
        <v>蔡秋丽</v>
      </c>
      <c r="E154" s="21" t="str">
        <f>"322420210817142101101213"</f>
        <v>322420210817142101101213</v>
      </c>
      <c r="F154" s="36" t="s">
        <v>13</v>
      </c>
      <c r="G154" s="33" t="s">
        <v>45</v>
      </c>
      <c r="H154" s="34"/>
      <c r="I154" s="31" t="s">
        <v>15</v>
      </c>
      <c r="J154" s="19"/>
    </row>
    <row r="155" ht="34" customHeight="1" spans="1:10">
      <c r="A155" s="15"/>
      <c r="B155" s="42"/>
      <c r="C155" s="19">
        <v>18</v>
      </c>
      <c r="D155" s="20" t="str">
        <f>"朱秀梅"</f>
        <v>朱秀梅</v>
      </c>
      <c r="E155" s="21" t="str">
        <f>"322420210817160948101300"</f>
        <v>322420210817160948101300</v>
      </c>
      <c r="F155" s="36" t="s">
        <v>13</v>
      </c>
      <c r="G155" s="33" t="s">
        <v>45</v>
      </c>
      <c r="H155" s="34"/>
      <c r="I155" s="31" t="s">
        <v>15</v>
      </c>
      <c r="J155" s="19"/>
    </row>
    <row r="156" ht="34" customHeight="1" spans="1:10">
      <c r="A156" s="15"/>
      <c r="B156" s="42"/>
      <c r="C156" s="19">
        <v>19</v>
      </c>
      <c r="D156" s="20" t="str">
        <f>"林梅"</f>
        <v>林梅</v>
      </c>
      <c r="E156" s="21" t="str">
        <f>"322420210820173518102861"</f>
        <v>322420210820173518102861</v>
      </c>
      <c r="F156" s="36" t="s">
        <v>13</v>
      </c>
      <c r="G156" s="33" t="s">
        <v>45</v>
      </c>
      <c r="H156" s="34"/>
      <c r="I156" s="31" t="s">
        <v>15</v>
      </c>
      <c r="J156" s="19"/>
    </row>
    <row r="157" ht="34" customHeight="1" spans="1:10">
      <c r="A157" s="15"/>
      <c r="B157" s="42"/>
      <c r="C157" s="19">
        <v>20</v>
      </c>
      <c r="D157" s="20" t="str">
        <f>"钟玉萍"</f>
        <v>钟玉萍</v>
      </c>
      <c r="E157" s="21" t="str">
        <f>"322420210821215334103101"</f>
        <v>322420210821215334103101</v>
      </c>
      <c r="F157" s="36" t="s">
        <v>13</v>
      </c>
      <c r="G157" s="33" t="s">
        <v>45</v>
      </c>
      <c r="H157" s="34"/>
      <c r="I157" s="31" t="s">
        <v>15</v>
      </c>
      <c r="J157" s="19"/>
    </row>
    <row r="158" ht="34" customHeight="1" spans="1:10">
      <c r="A158" s="15"/>
      <c r="B158" s="42"/>
      <c r="C158" s="19">
        <v>21</v>
      </c>
      <c r="D158" s="20" t="str">
        <f>"林香"</f>
        <v>林香</v>
      </c>
      <c r="E158" s="21" t="str">
        <f>"322420210821223748103109"</f>
        <v>322420210821223748103109</v>
      </c>
      <c r="F158" s="36" t="s">
        <v>13</v>
      </c>
      <c r="G158" s="33" t="s">
        <v>45</v>
      </c>
      <c r="H158" s="34"/>
      <c r="I158" s="31" t="s">
        <v>15</v>
      </c>
      <c r="J158" s="19"/>
    </row>
    <row r="159" ht="34" customHeight="1" spans="1:10">
      <c r="A159" s="15"/>
      <c r="B159" s="42"/>
      <c r="C159" s="19">
        <v>22</v>
      </c>
      <c r="D159" s="20" t="str">
        <f>"杨引燕"</f>
        <v>杨引燕</v>
      </c>
      <c r="E159" s="21" t="str">
        <f>"322420210822085659103145"</f>
        <v>322420210822085659103145</v>
      </c>
      <c r="F159" s="36" t="s">
        <v>13</v>
      </c>
      <c r="G159" s="33" t="s">
        <v>45</v>
      </c>
      <c r="H159" s="34" t="s">
        <v>16</v>
      </c>
      <c r="I159" s="31">
        <v>83</v>
      </c>
      <c r="J159" s="19"/>
    </row>
    <row r="160" ht="34" customHeight="1" spans="1:10">
      <c r="A160" s="15"/>
      <c r="B160" s="42"/>
      <c r="C160" s="19">
        <v>23</v>
      </c>
      <c r="D160" s="20" t="str">
        <f>"何守菊"</f>
        <v>何守菊</v>
      </c>
      <c r="E160" s="21" t="str">
        <f>"322420210822092215103151"</f>
        <v>322420210822092215103151</v>
      </c>
      <c r="F160" s="36" t="s">
        <v>13</v>
      </c>
      <c r="G160" s="33" t="s">
        <v>45</v>
      </c>
      <c r="H160" s="34"/>
      <c r="I160" s="31" t="s">
        <v>15</v>
      </c>
      <c r="J160" s="19"/>
    </row>
    <row r="161" ht="34" customHeight="1" spans="1:10">
      <c r="A161" s="15"/>
      <c r="B161" s="44"/>
      <c r="C161" s="19">
        <v>24</v>
      </c>
      <c r="D161" s="20" t="str">
        <f>"王小转"</f>
        <v>王小转</v>
      </c>
      <c r="E161" s="21" t="str">
        <f>"322420210822105534103170"</f>
        <v>322420210822105534103170</v>
      </c>
      <c r="F161" s="36" t="s">
        <v>13</v>
      </c>
      <c r="G161" s="33" t="s">
        <v>45</v>
      </c>
      <c r="H161" s="34"/>
      <c r="I161" s="31" t="s">
        <v>15</v>
      </c>
      <c r="J161" s="19"/>
    </row>
    <row r="162" ht="48" customHeight="1" spans="1:10">
      <c r="A162" s="15" t="s">
        <v>46</v>
      </c>
      <c r="B162" s="41" t="s">
        <v>47</v>
      </c>
      <c r="C162" s="19">
        <v>1</v>
      </c>
      <c r="D162" s="20" t="str">
        <f>"黎亚霞"</f>
        <v>黎亚霞</v>
      </c>
      <c r="E162" s="21" t="str">
        <f>"322420210817125918101165"</f>
        <v>322420210817125918101165</v>
      </c>
      <c r="F162" s="36" t="s">
        <v>48</v>
      </c>
      <c r="G162" s="33" t="s">
        <v>49</v>
      </c>
      <c r="H162" s="34"/>
      <c r="I162" s="31" t="s">
        <v>15</v>
      </c>
      <c r="J162" s="19"/>
    </row>
    <row r="163" ht="48" customHeight="1" spans="1:10">
      <c r="A163" s="15"/>
      <c r="B163" s="42"/>
      <c r="C163" s="19">
        <v>2</v>
      </c>
      <c r="D163" s="20" t="str">
        <f>"吴漫洪"</f>
        <v>吴漫洪</v>
      </c>
      <c r="E163" s="21" t="str">
        <f>"322420210818113032101806"</f>
        <v>322420210818113032101806</v>
      </c>
      <c r="F163" s="36" t="s">
        <v>48</v>
      </c>
      <c r="G163" s="33" t="s">
        <v>49</v>
      </c>
      <c r="H163" s="34"/>
      <c r="I163" s="31" t="s">
        <v>15</v>
      </c>
      <c r="J163" s="19"/>
    </row>
    <row r="164" ht="48" customHeight="1" spans="1:10">
      <c r="A164" s="15"/>
      <c r="B164" s="42"/>
      <c r="C164" s="19">
        <v>3</v>
      </c>
      <c r="D164" s="20" t="str">
        <f>"陈锦霜"</f>
        <v>陈锦霜</v>
      </c>
      <c r="E164" s="21" t="str">
        <f>"322420210819161439102547"</f>
        <v>322420210819161439102547</v>
      </c>
      <c r="F164" s="36" t="s">
        <v>48</v>
      </c>
      <c r="G164" s="33" t="s">
        <v>49</v>
      </c>
      <c r="H164" s="34"/>
      <c r="I164" s="31" t="s">
        <v>15</v>
      </c>
      <c r="J164" s="19"/>
    </row>
    <row r="165" ht="48" customHeight="1" spans="1:10">
      <c r="A165" s="15"/>
      <c r="B165" s="42"/>
      <c r="C165" s="19">
        <v>4</v>
      </c>
      <c r="D165" s="20" t="str">
        <f>"尤今"</f>
        <v>尤今</v>
      </c>
      <c r="E165" s="21" t="str">
        <f>"322420210822102354103162"</f>
        <v>322420210822102354103162</v>
      </c>
      <c r="F165" s="36" t="s">
        <v>48</v>
      </c>
      <c r="G165" s="33" t="s">
        <v>49</v>
      </c>
      <c r="H165" s="34"/>
      <c r="I165" s="31" t="s">
        <v>15</v>
      </c>
      <c r="J165" s="19"/>
    </row>
    <row r="166" ht="48" customHeight="1" spans="1:10">
      <c r="A166" s="15"/>
      <c r="B166" s="42"/>
      <c r="C166" s="19">
        <v>5</v>
      </c>
      <c r="D166" s="20" t="str">
        <f>"李秋萍"</f>
        <v>李秋萍</v>
      </c>
      <c r="E166" s="21" t="str">
        <f>"322420210817092720100929"</f>
        <v>322420210817092720100929</v>
      </c>
      <c r="F166" s="36" t="s">
        <v>34</v>
      </c>
      <c r="G166" s="33" t="s">
        <v>50</v>
      </c>
      <c r="H166" s="34" t="s">
        <v>16</v>
      </c>
      <c r="I166" s="31">
        <v>88.67</v>
      </c>
      <c r="J166" s="19"/>
    </row>
    <row r="167" ht="48" customHeight="1" spans="1:10">
      <c r="A167" s="15"/>
      <c r="B167" s="42"/>
      <c r="C167" s="19">
        <v>6</v>
      </c>
      <c r="D167" s="20" t="str">
        <f>"符敏燕"</f>
        <v>符敏燕</v>
      </c>
      <c r="E167" s="21" t="str">
        <f>"322420210817122650101142"</f>
        <v>322420210817122650101142</v>
      </c>
      <c r="F167" s="36" t="s">
        <v>34</v>
      </c>
      <c r="G167" s="33" t="s">
        <v>50</v>
      </c>
      <c r="H167" s="34"/>
      <c r="I167" s="31" t="s">
        <v>15</v>
      </c>
      <c r="J167" s="19"/>
    </row>
    <row r="168" ht="48" customHeight="1" spans="1:10">
      <c r="A168" s="15"/>
      <c r="B168" s="42"/>
      <c r="C168" s="19">
        <v>7</v>
      </c>
      <c r="D168" s="20" t="str">
        <f>"冯紫荆"</f>
        <v>冯紫荆</v>
      </c>
      <c r="E168" s="21" t="str">
        <f>"322420210817142000101211"</f>
        <v>322420210817142000101211</v>
      </c>
      <c r="F168" s="36" t="s">
        <v>34</v>
      </c>
      <c r="G168" s="33" t="s">
        <v>50</v>
      </c>
      <c r="H168" s="34" t="s">
        <v>23</v>
      </c>
      <c r="I168" s="31">
        <v>85</v>
      </c>
      <c r="J168" s="19"/>
    </row>
    <row r="169" ht="48" customHeight="1" spans="1:10">
      <c r="A169" s="15"/>
      <c r="B169" s="42"/>
      <c r="C169" s="19">
        <v>8</v>
      </c>
      <c r="D169" s="20" t="str">
        <f>"孙静"</f>
        <v>孙静</v>
      </c>
      <c r="E169" s="21" t="str">
        <f>"322420210817201812101471"</f>
        <v>322420210817201812101471</v>
      </c>
      <c r="F169" s="36" t="s">
        <v>34</v>
      </c>
      <c r="G169" s="33" t="s">
        <v>50</v>
      </c>
      <c r="H169" s="34"/>
      <c r="I169" s="31" t="s">
        <v>15</v>
      </c>
      <c r="J169" s="19"/>
    </row>
    <row r="170" ht="48" customHeight="1" spans="1:10">
      <c r="A170" s="15"/>
      <c r="B170" s="42"/>
      <c r="C170" s="19">
        <v>9</v>
      </c>
      <c r="D170" s="20" t="str">
        <f>"符启娇"</f>
        <v>符启娇</v>
      </c>
      <c r="E170" s="21" t="str">
        <f>"322420210818004638101608"</f>
        <v>322420210818004638101608</v>
      </c>
      <c r="F170" s="36" t="s">
        <v>34</v>
      </c>
      <c r="G170" s="33" t="s">
        <v>50</v>
      </c>
      <c r="H170" s="34"/>
      <c r="I170" s="31" t="s">
        <v>15</v>
      </c>
      <c r="J170" s="19"/>
    </row>
    <row r="171" ht="48" customHeight="1" spans="1:10">
      <c r="A171" s="15"/>
      <c r="B171" s="42"/>
      <c r="C171" s="19">
        <v>10</v>
      </c>
      <c r="D171" s="20" t="str">
        <f>"符执豪"</f>
        <v>符执豪</v>
      </c>
      <c r="E171" s="21" t="str">
        <f>"322420210818194436102120"</f>
        <v>322420210818194436102120</v>
      </c>
      <c r="F171" s="36" t="s">
        <v>34</v>
      </c>
      <c r="G171" s="33" t="s">
        <v>50</v>
      </c>
      <c r="H171" s="34" t="s">
        <v>25</v>
      </c>
      <c r="I171" s="31">
        <v>79.67</v>
      </c>
      <c r="J171" s="19"/>
    </row>
    <row r="172" ht="48" customHeight="1" spans="1:10">
      <c r="A172" s="15"/>
      <c r="B172" s="42"/>
      <c r="C172" s="19">
        <v>11</v>
      </c>
      <c r="D172" s="20" t="str">
        <f>"王小妹"</f>
        <v>王小妹</v>
      </c>
      <c r="E172" s="21" t="str">
        <f>"322420210819000953102248"</f>
        <v>322420210819000953102248</v>
      </c>
      <c r="F172" s="36" t="s">
        <v>34</v>
      </c>
      <c r="G172" s="33" t="s">
        <v>50</v>
      </c>
      <c r="H172" s="34"/>
      <c r="I172" s="31" t="s">
        <v>15</v>
      </c>
      <c r="J172" s="19"/>
    </row>
    <row r="173" ht="48" customHeight="1" spans="1:10">
      <c r="A173" s="15"/>
      <c r="B173" s="42"/>
      <c r="C173" s="19">
        <v>12</v>
      </c>
      <c r="D173" s="20" t="str">
        <f>"卢兰珍"</f>
        <v>卢兰珍</v>
      </c>
      <c r="E173" s="21" t="str">
        <f>"322420210819094317102306"</f>
        <v>322420210819094317102306</v>
      </c>
      <c r="F173" s="36" t="s">
        <v>34</v>
      </c>
      <c r="G173" s="33" t="s">
        <v>50</v>
      </c>
      <c r="H173" s="34" t="s">
        <v>22</v>
      </c>
      <c r="I173" s="31">
        <v>77</v>
      </c>
      <c r="J173" s="19"/>
    </row>
    <row r="174" ht="48" customHeight="1" spans="1:10">
      <c r="A174" s="15"/>
      <c r="B174" s="42"/>
      <c r="C174" s="19">
        <v>13</v>
      </c>
      <c r="D174" s="20" t="str">
        <f>"苏小妹"</f>
        <v>苏小妹</v>
      </c>
      <c r="E174" s="21" t="str">
        <f>"322420210819154030102513"</f>
        <v>322420210819154030102513</v>
      </c>
      <c r="F174" s="36" t="s">
        <v>34</v>
      </c>
      <c r="G174" s="33" t="s">
        <v>50</v>
      </c>
      <c r="H174" s="34"/>
      <c r="I174" s="31" t="s">
        <v>15</v>
      </c>
      <c r="J174" s="19"/>
    </row>
    <row r="175" ht="48" customHeight="1" spans="1:10">
      <c r="A175" s="15"/>
      <c r="B175" s="42"/>
      <c r="C175" s="19">
        <v>14</v>
      </c>
      <c r="D175" s="20" t="str">
        <f>"王小莉"</f>
        <v>王小莉</v>
      </c>
      <c r="E175" s="21" t="str">
        <f>"322420210820141424102803"</f>
        <v>322420210820141424102803</v>
      </c>
      <c r="F175" s="36" t="s">
        <v>34</v>
      </c>
      <c r="G175" s="33" t="s">
        <v>50</v>
      </c>
      <c r="H175" s="34"/>
      <c r="I175" s="31" t="s">
        <v>15</v>
      </c>
      <c r="J175" s="19"/>
    </row>
    <row r="176" ht="48" customHeight="1" spans="1:10">
      <c r="A176" s="15"/>
      <c r="B176" s="42"/>
      <c r="C176" s="19">
        <v>15</v>
      </c>
      <c r="D176" s="20" t="str">
        <f>"陈彩莹"</f>
        <v>陈彩莹</v>
      </c>
      <c r="E176" s="21" t="str">
        <f>"322420210820165243102847"</f>
        <v>322420210820165243102847</v>
      </c>
      <c r="F176" s="36" t="s">
        <v>34</v>
      </c>
      <c r="G176" s="33" t="s">
        <v>50</v>
      </c>
      <c r="H176" s="34"/>
      <c r="I176" s="31" t="s">
        <v>15</v>
      </c>
      <c r="J176" s="19"/>
    </row>
    <row r="177" ht="48" customHeight="1" spans="1:10">
      <c r="A177" s="15"/>
      <c r="B177" s="42"/>
      <c r="C177" s="19">
        <v>16</v>
      </c>
      <c r="D177" s="20" t="str">
        <f>"欧阳泽祥"</f>
        <v>欧阳泽祥</v>
      </c>
      <c r="E177" s="21" t="str">
        <f>"322420210820210933102900"</f>
        <v>322420210820210933102900</v>
      </c>
      <c r="F177" s="36" t="s">
        <v>34</v>
      </c>
      <c r="G177" s="33" t="s">
        <v>50</v>
      </c>
      <c r="H177" s="34"/>
      <c r="I177" s="31" t="s">
        <v>15</v>
      </c>
      <c r="J177" s="19"/>
    </row>
    <row r="178" ht="48" customHeight="1" spans="1:10">
      <c r="A178" s="15"/>
      <c r="B178" s="44"/>
      <c r="C178" s="19">
        <v>17</v>
      </c>
      <c r="D178" s="20" t="str">
        <f>"冯小翠"</f>
        <v>冯小翠</v>
      </c>
      <c r="E178" s="21" t="str">
        <f>"322420210821080353102938"</f>
        <v>322420210821080353102938</v>
      </c>
      <c r="F178" s="36" t="s">
        <v>34</v>
      </c>
      <c r="G178" s="33" t="s">
        <v>50</v>
      </c>
      <c r="H178" s="34" t="s">
        <v>17</v>
      </c>
      <c r="I178" s="31">
        <v>83</v>
      </c>
      <c r="J178" s="19"/>
    </row>
    <row r="179" ht="41" customHeight="1" spans="1:10">
      <c r="A179" s="15" t="s">
        <v>51</v>
      </c>
      <c r="B179" s="41" t="s">
        <v>52</v>
      </c>
      <c r="C179" s="19">
        <v>1</v>
      </c>
      <c r="D179" s="20" t="str">
        <f>"黄财庆"</f>
        <v>黄财庆</v>
      </c>
      <c r="E179" s="21" t="str">
        <f>"322420210817101404100996"</f>
        <v>322420210817101404100996</v>
      </c>
      <c r="F179" s="36" t="s">
        <v>53</v>
      </c>
      <c r="G179" s="33" t="s">
        <v>54</v>
      </c>
      <c r="H179" s="34"/>
      <c r="I179" s="31" t="s">
        <v>15</v>
      </c>
      <c r="J179" s="19"/>
    </row>
    <row r="180" ht="41" customHeight="1" spans="1:10">
      <c r="A180" s="15"/>
      <c r="B180" s="42"/>
      <c r="C180" s="19">
        <v>2</v>
      </c>
      <c r="D180" s="20" t="str">
        <f>"郭伟兰"</f>
        <v>郭伟兰</v>
      </c>
      <c r="E180" s="21" t="str">
        <f>"322420210817102856101010"</f>
        <v>322420210817102856101010</v>
      </c>
      <c r="F180" s="36" t="s">
        <v>53</v>
      </c>
      <c r="G180" s="33" t="s">
        <v>54</v>
      </c>
      <c r="H180" s="34" t="s">
        <v>24</v>
      </c>
      <c r="I180" s="31">
        <v>83.33</v>
      </c>
      <c r="J180" s="19"/>
    </row>
    <row r="181" ht="41" customHeight="1" spans="1:10">
      <c r="A181" s="15"/>
      <c r="B181" s="42"/>
      <c r="C181" s="19">
        <v>3</v>
      </c>
      <c r="D181" s="20" t="str">
        <f>"沈艺真"</f>
        <v>沈艺真</v>
      </c>
      <c r="E181" s="21" t="str">
        <f>"322420210817140430101198"</f>
        <v>322420210817140430101198</v>
      </c>
      <c r="F181" s="36" t="s">
        <v>53</v>
      </c>
      <c r="G181" s="33" t="s">
        <v>54</v>
      </c>
      <c r="H181" s="34" t="s">
        <v>36</v>
      </c>
      <c r="I181" s="31">
        <v>84.23</v>
      </c>
      <c r="J181" s="19"/>
    </row>
    <row r="182" ht="41" customHeight="1" spans="1:10">
      <c r="A182" s="15"/>
      <c r="B182" s="42"/>
      <c r="C182" s="19">
        <v>4</v>
      </c>
      <c r="D182" s="20" t="str">
        <f>"王木玲"</f>
        <v>王木玲</v>
      </c>
      <c r="E182" s="21" t="str">
        <f>"322420210817143025101221"</f>
        <v>322420210817143025101221</v>
      </c>
      <c r="F182" s="36" t="s">
        <v>53</v>
      </c>
      <c r="G182" s="33" t="s">
        <v>54</v>
      </c>
      <c r="H182" s="34"/>
      <c r="I182" s="31" t="s">
        <v>15</v>
      </c>
      <c r="J182" s="19"/>
    </row>
    <row r="183" ht="41" customHeight="1" spans="1:10">
      <c r="A183" s="15"/>
      <c r="B183" s="42"/>
      <c r="C183" s="19">
        <v>5</v>
      </c>
      <c r="D183" s="20" t="str">
        <f>"盘明方"</f>
        <v>盘明方</v>
      </c>
      <c r="E183" s="21" t="str">
        <f>"322420210817182740101411"</f>
        <v>322420210817182740101411</v>
      </c>
      <c r="F183" s="36" t="s">
        <v>53</v>
      </c>
      <c r="G183" s="33" t="s">
        <v>54</v>
      </c>
      <c r="H183" s="34" t="s">
        <v>17</v>
      </c>
      <c r="I183" s="31">
        <v>84.67</v>
      </c>
      <c r="J183" s="19"/>
    </row>
    <row r="184" ht="41" customHeight="1" spans="1:10">
      <c r="A184" s="15"/>
      <c r="B184" s="42"/>
      <c r="C184" s="19">
        <v>6</v>
      </c>
      <c r="D184" s="20" t="str">
        <f>"杨忠燕"</f>
        <v>杨忠燕</v>
      </c>
      <c r="E184" s="21" t="str">
        <f>"322420210818143751101911"</f>
        <v>322420210818143751101911</v>
      </c>
      <c r="F184" s="36" t="s">
        <v>53</v>
      </c>
      <c r="G184" s="33" t="s">
        <v>54</v>
      </c>
      <c r="H184" s="34"/>
      <c r="I184" s="31" t="s">
        <v>15</v>
      </c>
      <c r="J184" s="19"/>
    </row>
    <row r="185" ht="41" customHeight="1" spans="1:10">
      <c r="A185" s="15"/>
      <c r="B185" s="42"/>
      <c r="C185" s="19">
        <v>7</v>
      </c>
      <c r="D185" s="20" t="str">
        <f>"金瑶"</f>
        <v>金瑶</v>
      </c>
      <c r="E185" s="21" t="str">
        <f>"322420210821111243102967"</f>
        <v>322420210821111243102967</v>
      </c>
      <c r="F185" s="36" t="s">
        <v>53</v>
      </c>
      <c r="G185" s="33" t="s">
        <v>54</v>
      </c>
      <c r="H185" s="34"/>
      <c r="I185" s="31" t="s">
        <v>15</v>
      </c>
      <c r="J185" s="19"/>
    </row>
    <row r="186" ht="41" customHeight="1" spans="1:10">
      <c r="A186" s="15"/>
      <c r="B186" s="42"/>
      <c r="C186" s="19">
        <v>8</v>
      </c>
      <c r="D186" s="20" t="str">
        <f>"罗晨芳"</f>
        <v>罗晨芳</v>
      </c>
      <c r="E186" s="21" t="str">
        <f>"322420210821205159103086"</f>
        <v>322420210821205159103086</v>
      </c>
      <c r="F186" s="36" t="s">
        <v>53</v>
      </c>
      <c r="G186" s="33" t="s">
        <v>54</v>
      </c>
      <c r="H186" s="34" t="s">
        <v>16</v>
      </c>
      <c r="I186" s="31">
        <v>79.33</v>
      </c>
      <c r="J186" s="19"/>
    </row>
    <row r="187" ht="41" customHeight="1" spans="1:10">
      <c r="A187" s="15"/>
      <c r="B187" s="42"/>
      <c r="C187" s="19">
        <v>9</v>
      </c>
      <c r="D187" s="20" t="str">
        <f>"吴娜二"</f>
        <v>吴娜二</v>
      </c>
      <c r="E187" s="21" t="str">
        <f>"322420210821231327103116"</f>
        <v>322420210821231327103116</v>
      </c>
      <c r="F187" s="36" t="s">
        <v>53</v>
      </c>
      <c r="G187" s="33" t="s">
        <v>54</v>
      </c>
      <c r="H187" s="34"/>
      <c r="I187" s="31" t="s">
        <v>15</v>
      </c>
      <c r="J187" s="19"/>
    </row>
    <row r="188" ht="41" customHeight="1" spans="1:10">
      <c r="A188" s="15"/>
      <c r="B188" s="42"/>
      <c r="C188" s="19">
        <v>10</v>
      </c>
      <c r="D188" s="20" t="str">
        <f>"谭纯妮"</f>
        <v>谭纯妮</v>
      </c>
      <c r="E188" s="21" t="str">
        <f>"322420210822000026103125"</f>
        <v>322420210822000026103125</v>
      </c>
      <c r="F188" s="20" t="s">
        <v>53</v>
      </c>
      <c r="G188" s="33" t="s">
        <v>54</v>
      </c>
      <c r="H188" s="34" t="s">
        <v>55</v>
      </c>
      <c r="I188" s="31">
        <v>77.73</v>
      </c>
      <c r="J188" s="19"/>
    </row>
    <row r="189" ht="41" customHeight="1" spans="1:10">
      <c r="A189" s="15"/>
      <c r="B189" s="42"/>
      <c r="C189" s="19">
        <v>11</v>
      </c>
      <c r="D189" s="20" t="str">
        <f>"王清丽"</f>
        <v>王清丽</v>
      </c>
      <c r="E189" s="21" t="str">
        <f>"322420210817100608100984"</f>
        <v>322420210817100608100984</v>
      </c>
      <c r="F189" s="20" t="s">
        <v>13</v>
      </c>
      <c r="G189" s="33" t="s">
        <v>56</v>
      </c>
      <c r="H189" s="34" t="s">
        <v>57</v>
      </c>
      <c r="I189" s="31">
        <v>77.17</v>
      </c>
      <c r="J189" s="19"/>
    </row>
    <row r="190" ht="41" customHeight="1" spans="1:10">
      <c r="A190" s="15"/>
      <c r="B190" s="42"/>
      <c r="C190" s="19">
        <v>12</v>
      </c>
      <c r="D190" s="20" t="str">
        <f>"汤博芬"</f>
        <v>汤博芬</v>
      </c>
      <c r="E190" s="21" t="str">
        <f>"322420210817101800100999"</f>
        <v>322420210817101800100999</v>
      </c>
      <c r="F190" s="20" t="s">
        <v>13</v>
      </c>
      <c r="G190" s="33" t="s">
        <v>56</v>
      </c>
      <c r="H190" s="34"/>
      <c r="I190" s="31" t="s">
        <v>15</v>
      </c>
      <c r="J190" s="19"/>
    </row>
    <row r="191" ht="41" customHeight="1" spans="1:10">
      <c r="A191" s="15"/>
      <c r="B191" s="42"/>
      <c r="C191" s="19">
        <v>13</v>
      </c>
      <c r="D191" s="20" t="str">
        <f>"黄凤"</f>
        <v>黄凤</v>
      </c>
      <c r="E191" s="21" t="str">
        <f>"322420210817125547101162"</f>
        <v>322420210817125547101162</v>
      </c>
      <c r="F191" s="20" t="s">
        <v>13</v>
      </c>
      <c r="G191" s="33" t="s">
        <v>56</v>
      </c>
      <c r="H191" s="34"/>
      <c r="I191" s="31" t="s">
        <v>15</v>
      </c>
      <c r="J191" s="19"/>
    </row>
    <row r="192" ht="41" customHeight="1" spans="1:10">
      <c r="A192" s="15"/>
      <c r="B192" s="42"/>
      <c r="C192" s="19">
        <v>14</v>
      </c>
      <c r="D192" s="20" t="str">
        <f>"王紫平"</f>
        <v>王紫平</v>
      </c>
      <c r="E192" s="21" t="str">
        <f>"322420210817141627101208"</f>
        <v>322420210817141627101208</v>
      </c>
      <c r="F192" s="20" t="s">
        <v>13</v>
      </c>
      <c r="G192" s="33" t="s">
        <v>56</v>
      </c>
      <c r="H192" s="34"/>
      <c r="I192" s="31" t="s">
        <v>15</v>
      </c>
      <c r="J192" s="19"/>
    </row>
    <row r="193" ht="41" customHeight="1" spans="1:10">
      <c r="A193" s="15"/>
      <c r="B193" s="42"/>
      <c r="C193" s="19">
        <v>15</v>
      </c>
      <c r="D193" s="20" t="str">
        <f>"朱强"</f>
        <v>朱强</v>
      </c>
      <c r="E193" s="21" t="str">
        <f>"322420210817205848101494"</f>
        <v>322420210817205848101494</v>
      </c>
      <c r="F193" s="20" t="s">
        <v>13</v>
      </c>
      <c r="G193" s="33" t="s">
        <v>56</v>
      </c>
      <c r="H193" s="34" t="s">
        <v>58</v>
      </c>
      <c r="I193" s="31">
        <v>86.33</v>
      </c>
      <c r="J193" s="19"/>
    </row>
    <row r="194" ht="41" customHeight="1" spans="1:10">
      <c r="A194" s="15"/>
      <c r="B194" s="42"/>
      <c r="C194" s="19">
        <v>16</v>
      </c>
      <c r="D194" s="20" t="str">
        <f>"周敏"</f>
        <v>周敏</v>
      </c>
      <c r="E194" s="21" t="str">
        <f>"322420210818203116102140"</f>
        <v>322420210818203116102140</v>
      </c>
      <c r="F194" s="20" t="s">
        <v>13</v>
      </c>
      <c r="G194" s="33" t="s">
        <v>56</v>
      </c>
      <c r="H194" s="34"/>
      <c r="I194" s="31" t="s">
        <v>15</v>
      </c>
      <c r="J194" s="19"/>
    </row>
    <row r="195" ht="41" customHeight="1" spans="1:10">
      <c r="A195" s="15"/>
      <c r="B195" s="42"/>
      <c r="C195" s="19">
        <v>17</v>
      </c>
      <c r="D195" s="20" t="str">
        <f>"王亚锐"</f>
        <v>王亚锐</v>
      </c>
      <c r="E195" s="21" t="str">
        <f>"322420210820172513102858"</f>
        <v>322420210820172513102858</v>
      </c>
      <c r="F195" s="20" t="s">
        <v>13</v>
      </c>
      <c r="G195" s="33" t="s">
        <v>56</v>
      </c>
      <c r="H195" s="34"/>
      <c r="I195" s="31" t="s">
        <v>15</v>
      </c>
      <c r="J195" s="19"/>
    </row>
    <row r="196" ht="41" customHeight="1" spans="1:10">
      <c r="A196" s="15"/>
      <c r="B196" s="42"/>
      <c r="C196" s="19">
        <v>18</v>
      </c>
      <c r="D196" s="20" t="str">
        <f>"吴环琴"</f>
        <v>吴环琴</v>
      </c>
      <c r="E196" s="21" t="str">
        <f>"322420210820203113102891"</f>
        <v>322420210820203113102891</v>
      </c>
      <c r="F196" s="20" t="s">
        <v>13</v>
      </c>
      <c r="G196" s="33" t="s">
        <v>56</v>
      </c>
      <c r="H196" s="34"/>
      <c r="I196" s="31" t="s">
        <v>15</v>
      </c>
      <c r="J196" s="19"/>
    </row>
    <row r="197" ht="41" customHeight="1" spans="1:10">
      <c r="A197" s="15"/>
      <c r="B197" s="42"/>
      <c r="C197" s="19">
        <v>19</v>
      </c>
      <c r="D197" s="20" t="str">
        <f>"范芬霞"</f>
        <v>范芬霞</v>
      </c>
      <c r="E197" s="21" t="str">
        <f>"322420210821162351103031"</f>
        <v>322420210821162351103031</v>
      </c>
      <c r="F197" s="20" t="s">
        <v>13</v>
      </c>
      <c r="G197" s="33" t="s">
        <v>56</v>
      </c>
      <c r="H197" s="34" t="s">
        <v>59</v>
      </c>
      <c r="I197" s="31">
        <v>74.07</v>
      </c>
      <c r="J197" s="19"/>
    </row>
    <row r="198" ht="41" customHeight="1" spans="1:10">
      <c r="A198" s="15"/>
      <c r="B198" s="44"/>
      <c r="C198" s="19">
        <v>20</v>
      </c>
      <c r="D198" s="20" t="str">
        <f>"王袁丽"</f>
        <v>王袁丽</v>
      </c>
      <c r="E198" s="21" t="str">
        <f>"322420210822030351103136"</f>
        <v>322420210822030351103136</v>
      </c>
      <c r="F198" s="20" t="s">
        <v>13</v>
      </c>
      <c r="G198" s="33" t="s">
        <v>56</v>
      </c>
      <c r="H198" s="34"/>
      <c r="I198" s="31" t="s">
        <v>15</v>
      </c>
      <c r="J198" s="19"/>
    </row>
    <row r="199" ht="32" customHeight="1" spans="1:10">
      <c r="A199" s="15" t="s">
        <v>60</v>
      </c>
      <c r="B199" s="41" t="s">
        <v>61</v>
      </c>
      <c r="C199" s="19">
        <v>1</v>
      </c>
      <c r="D199" s="20" t="str">
        <f>"何兴"</f>
        <v>何兴</v>
      </c>
      <c r="E199" s="21" t="str">
        <f>"322420210817091720100920"</f>
        <v>322420210817091720100920</v>
      </c>
      <c r="F199" s="20" t="s">
        <v>62</v>
      </c>
      <c r="G199" s="33" t="s">
        <v>63</v>
      </c>
      <c r="H199" s="34" t="s">
        <v>25</v>
      </c>
      <c r="I199" s="31">
        <v>85</v>
      </c>
      <c r="J199" s="19"/>
    </row>
    <row r="200" ht="32" customHeight="1" spans="1:10">
      <c r="A200" s="15"/>
      <c r="B200" s="42"/>
      <c r="C200" s="19">
        <v>2</v>
      </c>
      <c r="D200" s="20" t="str">
        <f>"陈丽霜"</f>
        <v>陈丽霜</v>
      </c>
      <c r="E200" s="21" t="str">
        <f>"322420210817111738101073"</f>
        <v>322420210817111738101073</v>
      </c>
      <c r="F200" s="20" t="s">
        <v>62</v>
      </c>
      <c r="G200" s="33" t="s">
        <v>63</v>
      </c>
      <c r="H200" s="34" t="s">
        <v>17</v>
      </c>
      <c r="I200" s="31">
        <v>83.5</v>
      </c>
      <c r="J200" s="19"/>
    </row>
    <row r="201" ht="32" customHeight="1" spans="1:10">
      <c r="A201" s="15"/>
      <c r="B201" s="42"/>
      <c r="C201" s="19">
        <v>3</v>
      </c>
      <c r="D201" s="20" t="str">
        <f>"陈益婷"</f>
        <v>陈益婷</v>
      </c>
      <c r="E201" s="21" t="str">
        <f>"322420210817114001101107"</f>
        <v>322420210817114001101107</v>
      </c>
      <c r="F201" s="20" t="s">
        <v>62</v>
      </c>
      <c r="G201" s="33" t="s">
        <v>63</v>
      </c>
      <c r="H201" s="34"/>
      <c r="I201" s="31" t="s">
        <v>15</v>
      </c>
      <c r="J201" s="19"/>
    </row>
    <row r="202" ht="32" customHeight="1" spans="1:10">
      <c r="A202" s="15"/>
      <c r="B202" s="42"/>
      <c r="C202" s="19">
        <v>4</v>
      </c>
      <c r="D202" s="20" t="str">
        <f>"刘君霞"</f>
        <v>刘君霞</v>
      </c>
      <c r="E202" s="21" t="str">
        <f>"322420210817132056101176"</f>
        <v>322420210817132056101176</v>
      </c>
      <c r="F202" s="20" t="s">
        <v>62</v>
      </c>
      <c r="G202" s="33" t="s">
        <v>63</v>
      </c>
      <c r="H202" s="34" t="s">
        <v>22</v>
      </c>
      <c r="I202" s="31">
        <v>81</v>
      </c>
      <c r="J202" s="19"/>
    </row>
    <row r="203" ht="32" customHeight="1" spans="1:10">
      <c r="A203" s="15"/>
      <c r="B203" s="42"/>
      <c r="C203" s="19">
        <v>5</v>
      </c>
      <c r="D203" s="20" t="str">
        <f>"陈晓"</f>
        <v>陈晓</v>
      </c>
      <c r="E203" s="21" t="str">
        <f>"322420210817170033101340"</f>
        <v>322420210817170033101340</v>
      </c>
      <c r="F203" s="20" t="s">
        <v>62</v>
      </c>
      <c r="G203" s="33" t="s">
        <v>63</v>
      </c>
      <c r="H203" s="34"/>
      <c r="I203" s="31" t="s">
        <v>15</v>
      </c>
      <c r="J203" s="19"/>
    </row>
    <row r="204" ht="32" customHeight="1" spans="1:10">
      <c r="A204" s="15"/>
      <c r="B204" s="42"/>
      <c r="C204" s="19">
        <v>6</v>
      </c>
      <c r="D204" s="20" t="str">
        <f>"刘辉"</f>
        <v>刘辉</v>
      </c>
      <c r="E204" s="21" t="str">
        <f>"322420210818181458102069"</f>
        <v>322420210818181458102069</v>
      </c>
      <c r="F204" s="20" t="s">
        <v>62</v>
      </c>
      <c r="G204" s="33" t="s">
        <v>63</v>
      </c>
      <c r="H204" s="34"/>
      <c r="I204" s="31" t="s">
        <v>15</v>
      </c>
      <c r="J204" s="19"/>
    </row>
    <row r="205" ht="32" customHeight="1" spans="1:10">
      <c r="A205" s="15"/>
      <c r="B205" s="42"/>
      <c r="C205" s="19">
        <v>7</v>
      </c>
      <c r="D205" s="20" t="str">
        <f>"陈原"</f>
        <v>陈原</v>
      </c>
      <c r="E205" s="21" t="str">
        <f>"322420210820205135102898"</f>
        <v>322420210820205135102898</v>
      </c>
      <c r="F205" s="20" t="s">
        <v>62</v>
      </c>
      <c r="G205" s="33" t="s">
        <v>63</v>
      </c>
      <c r="H205" s="34"/>
      <c r="I205" s="31" t="s">
        <v>15</v>
      </c>
      <c r="J205" s="19"/>
    </row>
    <row r="206" ht="32" customHeight="1" spans="1:10">
      <c r="A206" s="15"/>
      <c r="B206" s="42"/>
      <c r="C206" s="19">
        <v>8</v>
      </c>
      <c r="D206" s="20" t="str">
        <f>"谢琴"</f>
        <v>谢琴</v>
      </c>
      <c r="E206" s="21" t="str">
        <f>"322420210821143113103009"</f>
        <v>322420210821143113103009</v>
      </c>
      <c r="F206" s="20" t="s">
        <v>62</v>
      </c>
      <c r="G206" s="33" t="s">
        <v>63</v>
      </c>
      <c r="H206" s="34"/>
      <c r="I206" s="31" t="s">
        <v>15</v>
      </c>
      <c r="J206" s="19"/>
    </row>
    <row r="207" ht="32" customHeight="1" spans="1:10">
      <c r="A207" s="15"/>
      <c r="B207" s="42"/>
      <c r="C207" s="19">
        <v>9</v>
      </c>
      <c r="D207" s="20" t="str">
        <f>"梁玉花"</f>
        <v>梁玉花</v>
      </c>
      <c r="E207" s="21" t="str">
        <f>"322420210818095716101700"</f>
        <v>322420210818095716101700</v>
      </c>
      <c r="F207" s="20" t="s">
        <v>64</v>
      </c>
      <c r="G207" s="33" t="s">
        <v>65</v>
      </c>
      <c r="H207" s="34"/>
      <c r="I207" s="31" t="s">
        <v>15</v>
      </c>
      <c r="J207" s="19"/>
    </row>
    <row r="208" ht="32" customHeight="1" spans="1:10">
      <c r="A208" s="15"/>
      <c r="B208" s="42"/>
      <c r="C208" s="19">
        <v>10</v>
      </c>
      <c r="D208" s="20" t="str">
        <f>"李柔仙"</f>
        <v>李柔仙</v>
      </c>
      <c r="E208" s="21" t="str">
        <f>"322420210820000811102672"</f>
        <v>322420210820000811102672</v>
      </c>
      <c r="F208" s="20" t="s">
        <v>64</v>
      </c>
      <c r="G208" s="33" t="s">
        <v>65</v>
      </c>
      <c r="H208" s="34"/>
      <c r="I208" s="31" t="s">
        <v>15</v>
      </c>
      <c r="J208" s="19"/>
    </row>
    <row r="209" ht="32" customHeight="1" spans="1:10">
      <c r="A209" s="15"/>
      <c r="B209" s="42"/>
      <c r="C209" s="19">
        <v>11</v>
      </c>
      <c r="D209" s="20" t="str">
        <f>"任建鑫"</f>
        <v>任建鑫</v>
      </c>
      <c r="E209" s="21" t="str">
        <f>"322420210821152311103017"</f>
        <v>322420210821152311103017</v>
      </c>
      <c r="F209" s="20" t="s">
        <v>64</v>
      </c>
      <c r="G209" s="33" t="s">
        <v>65</v>
      </c>
      <c r="H209" s="34" t="s">
        <v>16</v>
      </c>
      <c r="I209" s="31">
        <v>84.33</v>
      </c>
      <c r="J209" s="19"/>
    </row>
    <row r="210" ht="32" customHeight="1" spans="1:10">
      <c r="A210" s="15"/>
      <c r="B210" s="44"/>
      <c r="C210" s="19">
        <v>12</v>
      </c>
      <c r="D210" s="20" t="str">
        <f>"吴尚书"</f>
        <v>吴尚书</v>
      </c>
      <c r="E210" s="21" t="str">
        <f>"322420210822112853103178"</f>
        <v>322420210822112853103178</v>
      </c>
      <c r="F210" s="20" t="s">
        <v>64</v>
      </c>
      <c r="G210" s="33" t="s">
        <v>65</v>
      </c>
      <c r="H210" s="34"/>
      <c r="I210" s="31" t="s">
        <v>15</v>
      </c>
      <c r="J210" s="19"/>
    </row>
    <row r="211" ht="32" customHeight="1" spans="1:10">
      <c r="A211" s="15" t="s">
        <v>66</v>
      </c>
      <c r="B211" s="41" t="s">
        <v>67</v>
      </c>
      <c r="C211" s="19">
        <v>1</v>
      </c>
      <c r="D211" s="20" t="str">
        <f>"陈王辉"</f>
        <v>陈王辉</v>
      </c>
      <c r="E211" s="21" t="str">
        <f>"322420210817105719101042"</f>
        <v>322420210817105719101042</v>
      </c>
      <c r="F211" s="20" t="s">
        <v>62</v>
      </c>
      <c r="G211" s="33" t="s">
        <v>68</v>
      </c>
      <c r="H211" s="34"/>
      <c r="I211" s="31" t="s">
        <v>15</v>
      </c>
      <c r="J211" s="19"/>
    </row>
    <row r="212" ht="32" customHeight="1" spans="1:10">
      <c r="A212" s="15"/>
      <c r="B212" s="42"/>
      <c r="C212" s="19">
        <v>2</v>
      </c>
      <c r="D212" s="20" t="str">
        <f>"符鸿泽"</f>
        <v>符鸿泽</v>
      </c>
      <c r="E212" s="21" t="str">
        <f>"322420210817202741101476"</f>
        <v>322420210817202741101476</v>
      </c>
      <c r="F212" s="20" t="s">
        <v>62</v>
      </c>
      <c r="G212" s="33" t="s">
        <v>68</v>
      </c>
      <c r="H212" s="34"/>
      <c r="I212" s="31" t="s">
        <v>15</v>
      </c>
      <c r="J212" s="19"/>
    </row>
    <row r="213" ht="32" customHeight="1" spans="1:10">
      <c r="A213" s="15"/>
      <c r="B213" s="42"/>
      <c r="C213" s="19">
        <v>3</v>
      </c>
      <c r="D213" s="20" t="str">
        <f>"曾维山"</f>
        <v>曾维山</v>
      </c>
      <c r="E213" s="21" t="str">
        <f>"322420210818091422101658"</f>
        <v>322420210818091422101658</v>
      </c>
      <c r="F213" s="20" t="s">
        <v>62</v>
      </c>
      <c r="G213" s="33" t="s">
        <v>68</v>
      </c>
      <c r="H213" s="34" t="s">
        <v>17</v>
      </c>
      <c r="I213" s="31">
        <v>66</v>
      </c>
      <c r="J213" s="19"/>
    </row>
    <row r="214" ht="32" customHeight="1" spans="1:10">
      <c r="A214" s="15"/>
      <c r="B214" s="42"/>
      <c r="C214" s="19">
        <v>4</v>
      </c>
      <c r="D214" s="20" t="str">
        <f>"杨洁"</f>
        <v>杨洁</v>
      </c>
      <c r="E214" s="21" t="str">
        <f>"322420210818152226101943"</f>
        <v>322420210818152226101943</v>
      </c>
      <c r="F214" s="20" t="s">
        <v>62</v>
      </c>
      <c r="G214" s="33" t="s">
        <v>68</v>
      </c>
      <c r="H214" s="34"/>
      <c r="I214" s="31" t="s">
        <v>15</v>
      </c>
      <c r="J214" s="19"/>
    </row>
    <row r="215" ht="32" customHeight="1" spans="1:10">
      <c r="A215" s="15"/>
      <c r="B215" s="42"/>
      <c r="C215" s="19">
        <v>5</v>
      </c>
      <c r="D215" s="20" t="str">
        <f>"郑纪旺"</f>
        <v>郑纪旺</v>
      </c>
      <c r="E215" s="21" t="str">
        <f>"322420210818154310101958"</f>
        <v>322420210818154310101958</v>
      </c>
      <c r="F215" s="20" t="s">
        <v>62</v>
      </c>
      <c r="G215" s="33" t="s">
        <v>68</v>
      </c>
      <c r="H215" s="34"/>
      <c r="I215" s="31" t="s">
        <v>15</v>
      </c>
      <c r="J215" s="19"/>
    </row>
    <row r="216" ht="32" customHeight="1" spans="1:10">
      <c r="A216" s="15"/>
      <c r="B216" s="42"/>
      <c r="C216" s="19">
        <v>6</v>
      </c>
      <c r="D216" s="20" t="str">
        <f>"李国玲"</f>
        <v>李国玲</v>
      </c>
      <c r="E216" s="21" t="str">
        <f>"322420210818184104102092"</f>
        <v>322420210818184104102092</v>
      </c>
      <c r="F216" s="20" t="s">
        <v>62</v>
      </c>
      <c r="G216" s="33" t="s">
        <v>68</v>
      </c>
      <c r="H216" s="34"/>
      <c r="I216" s="31" t="s">
        <v>15</v>
      </c>
      <c r="J216" s="19"/>
    </row>
    <row r="217" ht="32" customHeight="1" spans="1:10">
      <c r="A217" s="15"/>
      <c r="B217" s="42"/>
      <c r="C217" s="19">
        <v>7</v>
      </c>
      <c r="D217" s="20" t="str">
        <f>"陈冠灯"</f>
        <v>陈冠灯</v>
      </c>
      <c r="E217" s="21" t="str">
        <f>"322420210820140211102799"</f>
        <v>322420210820140211102799</v>
      </c>
      <c r="F217" s="20" t="s">
        <v>62</v>
      </c>
      <c r="G217" s="33" t="s">
        <v>68</v>
      </c>
      <c r="H217" s="34"/>
      <c r="I217" s="31" t="s">
        <v>15</v>
      </c>
      <c r="J217" s="19"/>
    </row>
    <row r="218" ht="32" customHeight="1" spans="1:10">
      <c r="A218" s="15"/>
      <c r="B218" s="42"/>
      <c r="C218" s="19">
        <v>8</v>
      </c>
      <c r="D218" s="20" t="str">
        <f>"王昌美"</f>
        <v>王昌美</v>
      </c>
      <c r="E218" s="21" t="str">
        <f>"322420210821173622103055"</f>
        <v>322420210821173622103055</v>
      </c>
      <c r="F218" s="20" t="s">
        <v>62</v>
      </c>
      <c r="G218" s="33" t="s">
        <v>68</v>
      </c>
      <c r="H218" s="34"/>
      <c r="I218" s="31" t="s">
        <v>15</v>
      </c>
      <c r="J218" s="19"/>
    </row>
    <row r="219" ht="32" customHeight="1" spans="1:10">
      <c r="A219" s="15"/>
      <c r="B219" s="42"/>
      <c r="C219" s="19">
        <v>9</v>
      </c>
      <c r="D219" s="20" t="str">
        <f>"胡宏"</f>
        <v>胡宏</v>
      </c>
      <c r="E219" s="21" t="str">
        <f>"322420210822103611103166"</f>
        <v>322420210822103611103166</v>
      </c>
      <c r="F219" s="20" t="s">
        <v>62</v>
      </c>
      <c r="G219" s="33" t="s">
        <v>68</v>
      </c>
      <c r="H219" s="34"/>
      <c r="I219" s="31" t="s">
        <v>15</v>
      </c>
      <c r="J219" s="19"/>
    </row>
    <row r="220" ht="32" customHeight="1" spans="1:10">
      <c r="A220" s="15"/>
      <c r="B220" s="42"/>
      <c r="C220" s="19">
        <v>10</v>
      </c>
      <c r="D220" s="20" t="str">
        <f>"李运睿"</f>
        <v>李运睿</v>
      </c>
      <c r="E220" s="21" t="str">
        <f>"322420210818153010101951"</f>
        <v>322420210818153010101951</v>
      </c>
      <c r="F220" s="20" t="s">
        <v>69</v>
      </c>
      <c r="G220" s="33" t="s">
        <v>70</v>
      </c>
      <c r="H220" s="34"/>
      <c r="I220" s="31" t="s">
        <v>15</v>
      </c>
      <c r="J220" s="19"/>
    </row>
    <row r="221" ht="32" customHeight="1" spans="1:10">
      <c r="A221" s="15"/>
      <c r="B221" s="42"/>
      <c r="C221" s="19">
        <v>11</v>
      </c>
      <c r="D221" s="20" t="str">
        <f>"欧开轩"</f>
        <v>欧开轩</v>
      </c>
      <c r="E221" s="21" t="str">
        <f>"322420210819132157102444"</f>
        <v>322420210819132157102444</v>
      </c>
      <c r="F221" s="20" t="s">
        <v>69</v>
      </c>
      <c r="G221" s="33" t="s">
        <v>70</v>
      </c>
      <c r="H221" s="34"/>
      <c r="I221" s="31" t="s">
        <v>15</v>
      </c>
      <c r="J221" s="19"/>
    </row>
    <row r="222" ht="32" customHeight="1" spans="1:10">
      <c r="A222" s="15"/>
      <c r="B222" s="42"/>
      <c r="C222" s="19">
        <v>12</v>
      </c>
      <c r="D222" s="20" t="str">
        <f>"马小敏"</f>
        <v>马小敏</v>
      </c>
      <c r="E222" s="21" t="str">
        <f>"322420210819161817102552"</f>
        <v>322420210819161817102552</v>
      </c>
      <c r="F222" s="20" t="s">
        <v>69</v>
      </c>
      <c r="G222" s="33" t="s">
        <v>70</v>
      </c>
      <c r="H222" s="34"/>
      <c r="I222" s="31" t="s">
        <v>15</v>
      </c>
      <c r="J222" s="19"/>
    </row>
    <row r="223" ht="32" customHeight="1" spans="1:10">
      <c r="A223" s="15"/>
      <c r="B223" s="44"/>
      <c r="C223" s="19">
        <v>13</v>
      </c>
      <c r="D223" s="20" t="str">
        <f>"董乾"</f>
        <v>董乾</v>
      </c>
      <c r="E223" s="21" t="str">
        <f>"322420210820123233102779"</f>
        <v>322420210820123233102779</v>
      </c>
      <c r="F223" s="20" t="s">
        <v>69</v>
      </c>
      <c r="G223" s="33" t="s">
        <v>70</v>
      </c>
      <c r="H223" s="34"/>
      <c r="I223" s="31" t="s">
        <v>15</v>
      </c>
      <c r="J223" s="19"/>
    </row>
  </sheetData>
  <autoFilter ref="A3:J223"/>
  <mergeCells count="21">
    <mergeCell ref="A1:J1"/>
    <mergeCell ref="A4:A24"/>
    <mergeCell ref="A25:A55"/>
    <mergeCell ref="A56:A84"/>
    <mergeCell ref="A85:A115"/>
    <mergeCell ref="A116:A137"/>
    <mergeCell ref="A138:A161"/>
    <mergeCell ref="A162:A178"/>
    <mergeCell ref="A179:A198"/>
    <mergeCell ref="A199:A210"/>
    <mergeCell ref="A211:A223"/>
    <mergeCell ref="B4:B24"/>
    <mergeCell ref="B25:B55"/>
    <mergeCell ref="B56:B84"/>
    <mergeCell ref="B85:B115"/>
    <mergeCell ref="B116:B137"/>
    <mergeCell ref="B138:B161"/>
    <mergeCell ref="B162:B178"/>
    <mergeCell ref="B179:B198"/>
    <mergeCell ref="B199:B210"/>
    <mergeCell ref="B211:B223"/>
  </mergeCells>
  <pageMargins left="0.471527777777778" right="0.471527777777778" top="0.590277777777778" bottom="0.590277777777778" header="0.511805555555556" footer="0.313888888888889"/>
  <pageSetup paperSize="9" scale="85" orientation="portrait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30日上午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2006-09-16T11:21:00Z</dcterms:created>
  <cp:lastPrinted>2021-07-27T10:07:00Z</cp:lastPrinted>
  <dcterms:modified xsi:type="dcterms:W3CDTF">2021-08-30T09:55:37Z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2052-10.8.0.6470</vt:lpwstr>
  </property>
</Properties>
</file>